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detnov-my.sharepoint.com/personal/j_vilarrubi_detnov_com/Documents/Escritorio/Ingenieria/Detnov Tools/"/>
    </mc:Choice>
  </mc:AlternateContent>
  <xr:revisionPtr revIDLastSave="98" documentId="13_ncr:1_{E82DF7E4-EDA7-4409-A949-DF32462C1519}" xr6:coauthVersionLast="47" xr6:coauthVersionMax="47" xr10:uidLastSave="{72D62CC4-264B-43D5-A345-C9BB45F0BE47}"/>
  <bookViews>
    <workbookView xWindow="-23148" yWindow="-1248" windowWidth="23256" windowHeight="12456" xr2:uid="{00000000-000D-0000-FFFF-FFFF00000000}"/>
  </bookViews>
  <sheets>
    <sheet name="System Calculation" sheetId="1" r:id="rId1"/>
    <sheet name="Datos" sheetId="10" state="veryHidden" r:id="rId2"/>
    <sheet name="SC_Loop 1" sheetId="2" r:id="rId3"/>
    <sheet name="SC_Loop 2" sheetId="33" r:id="rId4"/>
    <sheet name="SC_Loop 3" sheetId="34" r:id="rId5"/>
    <sheet name="SC_Loop 4" sheetId="35" r:id="rId6"/>
    <sheet name="SC_Loop 5" sheetId="36" r:id="rId7"/>
    <sheet name="SC_Loop 6" sheetId="37" r:id="rId8"/>
    <sheet name="SC_Loop 7" sheetId="38" r:id="rId9"/>
    <sheet name="SC_Loop 8" sheetId="39" r:id="rId10"/>
  </sheets>
  <externalReferences>
    <externalReference r:id="rId11"/>
  </externalReferences>
  <definedNames>
    <definedName name="CAD_150_1">Datos!$L$6</definedName>
    <definedName name="CAD_150_2">Datos!$M$6</definedName>
    <definedName name="CAD_150_2_MB">Datos!$N$6:$N$7</definedName>
    <definedName name="CAD_150_4">Datos!$O$6:$O$7</definedName>
    <definedName name="CAD_150_4_P">Datos!$V$6</definedName>
    <definedName name="CAD_150_8_4loop">Datos!$P$6:$P$7</definedName>
    <definedName name="CAD_150_8_6loop">Datos!$Q$6:$Q$7</definedName>
    <definedName name="CAD_150_8_8loop">Datos!$R$6:$R$7</definedName>
    <definedName name="CAD_150_8PLUS_4loop">Datos!$S$6:$S$8</definedName>
    <definedName name="CAD_150_8PLUS_6loop">Datos!$T$6:$T$8</definedName>
    <definedName name="CAD_150_8PLUS_8loop">Datos!$U$6:$U$8</definedName>
    <definedName name="CAD_150_8PLUS_P_4loop">Datos!$W$6:$W$8</definedName>
    <definedName name="CAD_150_8PLUS_P_6loop">Datos!$X$6:$X$8</definedName>
    <definedName name="CAD_150_8PLUS_P_8loop">Datos!$Y$6:$Y$8</definedName>
    <definedName name="Centrales">Datos!$K$5:$K$19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1" i="2" l="1"/>
  <c r="G71" i="38" s="1"/>
  <c r="G70" i="2"/>
  <c r="G70" i="35" s="1"/>
  <c r="G69" i="2"/>
  <c r="G69" i="38" s="1"/>
  <c r="G66" i="2"/>
  <c r="G66" i="35" s="1"/>
  <c r="G65" i="2"/>
  <c r="G64" i="2"/>
  <c r="G64" i="36" s="1"/>
  <c r="G61" i="2"/>
  <c r="G61" i="33" s="1"/>
  <c r="G60" i="2"/>
  <c r="G60" i="35" s="1"/>
  <c r="G59" i="2"/>
  <c r="G59" i="37" s="1"/>
  <c r="G58" i="2"/>
  <c r="G58" i="39" s="1"/>
  <c r="G53" i="2"/>
  <c r="G52" i="2"/>
  <c r="G52" i="39" s="1"/>
  <c r="G51" i="2"/>
  <c r="G51" i="39" s="1"/>
  <c r="G50" i="2"/>
  <c r="G50" i="38" s="1"/>
  <c r="G49" i="2"/>
  <c r="G49" i="39" s="1"/>
  <c r="G48" i="2"/>
  <c r="G45" i="2"/>
  <c r="G45" i="34" s="1"/>
  <c r="G44" i="2"/>
  <c r="G43" i="2"/>
  <c r="G43" i="37" s="1"/>
  <c r="G42" i="2"/>
  <c r="G42" i="38" s="1"/>
  <c r="G37" i="2"/>
  <c r="G36" i="2"/>
  <c r="G36" i="34" s="1"/>
  <c r="G35" i="2"/>
  <c r="G35" i="38" s="1"/>
  <c r="G34" i="2"/>
  <c r="G34" i="33" s="1"/>
  <c r="G33" i="2"/>
  <c r="G33" i="39" s="1"/>
  <c r="G32" i="2"/>
  <c r="G32" i="33" s="1"/>
  <c r="G29" i="2"/>
  <c r="G28" i="2"/>
  <c r="G28" i="34" s="1"/>
  <c r="G27" i="2"/>
  <c r="G27" i="36" s="1"/>
  <c r="G26" i="2"/>
  <c r="G26" i="39" s="1"/>
  <c r="G21" i="2"/>
  <c r="G21" i="36" s="1"/>
  <c r="G20" i="2"/>
  <c r="G20" i="39" s="1"/>
  <c r="G19" i="2"/>
  <c r="G18" i="2"/>
  <c r="G18" i="33" s="1"/>
  <c r="G17" i="2"/>
  <c r="G17" i="39" s="1"/>
  <c r="H17" i="39" s="1"/>
  <c r="G16" i="2"/>
  <c r="G16" i="35" s="1"/>
  <c r="H16" i="35" s="1"/>
  <c r="D75" i="2"/>
  <c r="D71" i="2"/>
  <c r="D71" i="34" s="1"/>
  <c r="E71" i="34" s="1"/>
  <c r="D70" i="2"/>
  <c r="D70" i="33" s="1"/>
  <c r="E70" i="33" s="1"/>
  <c r="D69" i="2"/>
  <c r="D69" i="38" s="1"/>
  <c r="E69" i="38" s="1"/>
  <c r="D65" i="2"/>
  <c r="D65" i="34" s="1"/>
  <c r="E65" i="34" s="1"/>
  <c r="D60" i="2"/>
  <c r="D60" i="36" s="1"/>
  <c r="E60" i="36" s="1"/>
  <c r="D55" i="2"/>
  <c r="E55" i="2" s="1"/>
  <c r="D49" i="2"/>
  <c r="D49" i="35" s="1"/>
  <c r="E49" i="35" s="1"/>
  <c r="D44" i="2"/>
  <c r="D44" i="34" s="1"/>
  <c r="E44" i="34" s="1"/>
  <c r="D39" i="2"/>
  <c r="D39" i="34" s="1"/>
  <c r="E39" i="34" s="1"/>
  <c r="D33" i="2"/>
  <c r="D33" i="34" s="1"/>
  <c r="E33" i="34" s="1"/>
  <c r="D28" i="2"/>
  <c r="D28" i="34" s="1"/>
  <c r="E28" i="34" s="1"/>
  <c r="D23" i="2"/>
  <c r="D23" i="37" s="1"/>
  <c r="E23" i="37" s="1"/>
  <c r="D17" i="2"/>
  <c r="D17" i="38" s="1"/>
  <c r="E17" i="38" s="1"/>
  <c r="G107" i="39"/>
  <c r="C107" i="39"/>
  <c r="B102" i="39"/>
  <c r="B103" i="39" s="1"/>
  <c r="B104" i="39" s="1"/>
  <c r="G101" i="39"/>
  <c r="B101" i="39"/>
  <c r="B100" i="39"/>
  <c r="G100" i="39" s="1"/>
  <c r="G107" i="38"/>
  <c r="C107" i="38"/>
  <c r="B102" i="38"/>
  <c r="B103" i="38" s="1"/>
  <c r="B104" i="38" s="1"/>
  <c r="B101" i="38"/>
  <c r="G101" i="38" s="1"/>
  <c r="B100" i="38"/>
  <c r="G100" i="38" s="1"/>
  <c r="G107" i="37"/>
  <c r="C107" i="37"/>
  <c r="B102" i="37"/>
  <c r="B103" i="37" s="1"/>
  <c r="B104" i="37" s="1"/>
  <c r="B101" i="37"/>
  <c r="G101" i="37" s="1"/>
  <c r="B100" i="37"/>
  <c r="G100" i="37" s="1"/>
  <c r="G107" i="36"/>
  <c r="C107" i="36"/>
  <c r="B102" i="36"/>
  <c r="B103" i="36" s="1"/>
  <c r="B104" i="36" s="1"/>
  <c r="B101" i="36"/>
  <c r="G101" i="36" s="1"/>
  <c r="G100" i="36"/>
  <c r="B100" i="36"/>
  <c r="G107" i="35"/>
  <c r="C107" i="35"/>
  <c r="B102" i="35"/>
  <c r="B103" i="35" s="1"/>
  <c r="B104" i="35" s="1"/>
  <c r="B101" i="35"/>
  <c r="G101" i="35" s="1"/>
  <c r="B100" i="35"/>
  <c r="G100" i="35" s="1"/>
  <c r="B101" i="34"/>
  <c r="B102" i="34" s="1"/>
  <c r="B103" i="34" s="1"/>
  <c r="B104" i="34" s="1"/>
  <c r="B100" i="34"/>
  <c r="G100" i="34" s="1"/>
  <c r="B101" i="33"/>
  <c r="B102" i="33" s="1"/>
  <c r="B103" i="33" s="1"/>
  <c r="B104" i="33" s="1"/>
  <c r="B100" i="33"/>
  <c r="G100" i="33" s="1"/>
  <c r="O9" i="39"/>
  <c r="O9" i="38"/>
  <c r="O9" i="37"/>
  <c r="O9" i="36"/>
  <c r="O9" i="35"/>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75" i="33"/>
  <c r="F74" i="33"/>
  <c r="F73" i="33"/>
  <c r="F72" i="33"/>
  <c r="F71" i="33"/>
  <c r="F70" i="33"/>
  <c r="F69" i="33"/>
  <c r="F68" i="33"/>
  <c r="F67" i="33"/>
  <c r="F66" i="33"/>
  <c r="F65" i="33"/>
  <c r="F64" i="33"/>
  <c r="F63" i="33"/>
  <c r="F62" i="33"/>
  <c r="F61" i="33"/>
  <c r="F60" i="33"/>
  <c r="F59" i="33"/>
  <c r="F58" i="33"/>
  <c r="F57" i="33"/>
  <c r="F56" i="33"/>
  <c r="F55" i="33"/>
  <c r="F54" i="33"/>
  <c r="F53" i="33"/>
  <c r="F52" i="33"/>
  <c r="F51" i="33"/>
  <c r="F50" i="33"/>
  <c r="F49" i="33"/>
  <c r="F48" i="33"/>
  <c r="F47" i="33"/>
  <c r="F46" i="33"/>
  <c r="F45" i="33"/>
  <c r="F44" i="33"/>
  <c r="F43" i="33"/>
  <c r="F42" i="33"/>
  <c r="F41" i="33"/>
  <c r="F40" i="33"/>
  <c r="F39" i="33"/>
  <c r="F38" i="33"/>
  <c r="F37" i="33"/>
  <c r="F36" i="33"/>
  <c r="F35" i="33"/>
  <c r="F34" i="33"/>
  <c r="F33" i="33"/>
  <c r="F32" i="33"/>
  <c r="F31" i="33"/>
  <c r="F30" i="33"/>
  <c r="F29" i="33"/>
  <c r="F28" i="33"/>
  <c r="F27" i="33"/>
  <c r="F26" i="33"/>
  <c r="F25" i="33"/>
  <c r="F24" i="33"/>
  <c r="F23" i="33"/>
  <c r="F22" i="33"/>
  <c r="F21" i="33"/>
  <c r="F20" i="33"/>
  <c r="F19" i="33"/>
  <c r="F18" i="33"/>
  <c r="F17" i="33"/>
  <c r="F16" i="33"/>
  <c r="F15" i="33"/>
  <c r="F68" i="2"/>
  <c r="F69" i="2"/>
  <c r="F67" i="2"/>
  <c r="F64" i="2"/>
  <c r="F65" i="2"/>
  <c r="F66" i="2"/>
  <c r="F61" i="2"/>
  <c r="F62" i="2"/>
  <c r="F63" i="2"/>
  <c r="F58" i="2"/>
  <c r="F59" i="2"/>
  <c r="F60" i="2"/>
  <c r="F55" i="2"/>
  <c r="F56" i="2"/>
  <c r="F57" i="2"/>
  <c r="F52" i="2"/>
  <c r="F53" i="2"/>
  <c r="F54" i="2"/>
  <c r="F51" i="2"/>
  <c r="F49" i="2"/>
  <c r="F50" i="2"/>
  <c r="F47" i="2"/>
  <c r="F48" i="2"/>
  <c r="F46" i="2"/>
  <c r="F45" i="2"/>
  <c r="F44" i="2"/>
  <c r="F42" i="2"/>
  <c r="F43" i="2"/>
  <c r="F39" i="2"/>
  <c r="F40" i="2"/>
  <c r="F41" i="2"/>
  <c r="F36" i="2"/>
  <c r="F37" i="2"/>
  <c r="F38" i="2"/>
  <c r="F34" i="2"/>
  <c r="F35" i="2"/>
  <c r="F32" i="2"/>
  <c r="F33" i="2"/>
  <c r="F29" i="2"/>
  <c r="F30" i="2"/>
  <c r="F31" i="2"/>
  <c r="F28" i="2"/>
  <c r="F27" i="2"/>
  <c r="M75" i="39"/>
  <c r="B75" i="39"/>
  <c r="A75" i="39"/>
  <c r="M74" i="39"/>
  <c r="B74" i="39"/>
  <c r="A74" i="39"/>
  <c r="M73" i="39"/>
  <c r="B73" i="39"/>
  <c r="A73" i="39"/>
  <c r="M72" i="39"/>
  <c r="B72" i="39"/>
  <c r="A72" i="39"/>
  <c r="M71" i="39"/>
  <c r="B71" i="39"/>
  <c r="A71" i="39"/>
  <c r="J70" i="39"/>
  <c r="M70" i="39" s="1"/>
  <c r="B70" i="39"/>
  <c r="A70" i="39"/>
  <c r="K69" i="39"/>
  <c r="M69" i="39" s="1"/>
  <c r="B69" i="39"/>
  <c r="A69" i="39"/>
  <c r="K68" i="39"/>
  <c r="M68" i="39" s="1"/>
  <c r="B68" i="39"/>
  <c r="A68" i="39"/>
  <c r="K67" i="39"/>
  <c r="M67" i="39" s="1"/>
  <c r="B67" i="39"/>
  <c r="A67" i="39"/>
  <c r="L66" i="39"/>
  <c r="M66" i="39" s="1"/>
  <c r="B66" i="39"/>
  <c r="A66" i="39"/>
  <c r="O65" i="39"/>
  <c r="L65" i="39"/>
  <c r="M65" i="39" s="1"/>
  <c r="B65" i="39"/>
  <c r="A65" i="39"/>
  <c r="O64" i="39"/>
  <c r="L64" i="39"/>
  <c r="M64" i="39" s="1"/>
  <c r="B64" i="39"/>
  <c r="A64" i="39"/>
  <c r="L63" i="39"/>
  <c r="M63" i="39" s="1"/>
  <c r="B63" i="39"/>
  <c r="A63" i="39"/>
  <c r="O62" i="39"/>
  <c r="L62" i="39"/>
  <c r="M62" i="39" s="1"/>
  <c r="B62" i="39"/>
  <c r="A62" i="39"/>
  <c r="L61" i="39"/>
  <c r="M61" i="39" s="1"/>
  <c r="B61" i="39"/>
  <c r="A61" i="39"/>
  <c r="O60" i="39"/>
  <c r="L60" i="39"/>
  <c r="M60" i="39" s="1"/>
  <c r="B60" i="39"/>
  <c r="A60" i="39"/>
  <c r="L59" i="39"/>
  <c r="M59" i="39" s="1"/>
  <c r="B59" i="39"/>
  <c r="A59" i="39"/>
  <c r="O58" i="39"/>
  <c r="L58" i="39"/>
  <c r="M58" i="39" s="1"/>
  <c r="B58" i="39"/>
  <c r="A58" i="39"/>
  <c r="L57" i="39"/>
  <c r="M57" i="39" s="1"/>
  <c r="B57" i="39"/>
  <c r="A57" i="39"/>
  <c r="O56" i="39"/>
  <c r="L56" i="39"/>
  <c r="M56" i="39" s="1"/>
  <c r="B56" i="39"/>
  <c r="A56" i="39"/>
  <c r="L55" i="39"/>
  <c r="M55" i="39" s="1"/>
  <c r="B55" i="39"/>
  <c r="A55" i="39"/>
  <c r="O54" i="39"/>
  <c r="L54" i="39"/>
  <c r="M54" i="39" s="1"/>
  <c r="B54" i="39"/>
  <c r="A54" i="39"/>
  <c r="L53" i="39"/>
  <c r="M53" i="39" s="1"/>
  <c r="B53" i="39"/>
  <c r="A53" i="39"/>
  <c r="L52" i="39"/>
  <c r="M52" i="39" s="1"/>
  <c r="B52" i="39"/>
  <c r="A52" i="39"/>
  <c r="L51" i="39"/>
  <c r="M51" i="39" s="1"/>
  <c r="B51" i="39"/>
  <c r="A51" i="39"/>
  <c r="L50" i="39"/>
  <c r="M50" i="39" s="1"/>
  <c r="B50" i="39"/>
  <c r="A50" i="39"/>
  <c r="L49" i="39"/>
  <c r="M49" i="39" s="1"/>
  <c r="B49" i="39"/>
  <c r="A49" i="39"/>
  <c r="L48" i="39"/>
  <c r="M48" i="39" s="1"/>
  <c r="B48" i="39"/>
  <c r="A48" i="39"/>
  <c r="L47" i="39"/>
  <c r="M47" i="39" s="1"/>
  <c r="B47" i="39"/>
  <c r="A47" i="39"/>
  <c r="L46" i="39"/>
  <c r="M46" i="39" s="1"/>
  <c r="B46" i="39"/>
  <c r="A46" i="39"/>
  <c r="J45" i="39"/>
  <c r="M45" i="39" s="1"/>
  <c r="B45" i="39"/>
  <c r="A45" i="39"/>
  <c r="J44" i="39"/>
  <c r="M44" i="39" s="1"/>
  <c r="B44" i="39"/>
  <c r="A44" i="39"/>
  <c r="O43" i="39"/>
  <c r="K43" i="39"/>
  <c r="M43" i="39" s="1"/>
  <c r="B43" i="39"/>
  <c r="A43" i="39"/>
  <c r="O42" i="39"/>
  <c r="K42" i="39"/>
  <c r="M42" i="39" s="1"/>
  <c r="B42" i="39"/>
  <c r="A42" i="39"/>
  <c r="O41" i="39"/>
  <c r="K41" i="39"/>
  <c r="M41" i="39" s="1"/>
  <c r="B41" i="39"/>
  <c r="A41" i="39"/>
  <c r="O40" i="39"/>
  <c r="K40" i="39"/>
  <c r="M40" i="39" s="1"/>
  <c r="B40" i="39"/>
  <c r="A40" i="39"/>
  <c r="O39" i="39"/>
  <c r="K39" i="39"/>
  <c r="M39" i="39" s="1"/>
  <c r="B39" i="39"/>
  <c r="A39" i="39"/>
  <c r="O38" i="39"/>
  <c r="K38" i="39"/>
  <c r="M38" i="39" s="1"/>
  <c r="B38" i="39"/>
  <c r="A38" i="39"/>
  <c r="K37" i="39"/>
  <c r="M37" i="39" s="1"/>
  <c r="B37" i="39"/>
  <c r="A37" i="39"/>
  <c r="K36" i="39"/>
  <c r="M36" i="39" s="1"/>
  <c r="B36" i="39"/>
  <c r="A36" i="39"/>
  <c r="O35" i="39"/>
  <c r="K35" i="39"/>
  <c r="M35" i="39" s="1"/>
  <c r="B35" i="39"/>
  <c r="A35" i="39"/>
  <c r="O34" i="39"/>
  <c r="M34" i="39"/>
  <c r="K34" i="39"/>
  <c r="B34" i="39"/>
  <c r="A34" i="39"/>
  <c r="K33" i="39"/>
  <c r="M33" i="39" s="1"/>
  <c r="B33" i="39"/>
  <c r="A33" i="39"/>
  <c r="K32" i="39"/>
  <c r="M32" i="39" s="1"/>
  <c r="B32" i="39"/>
  <c r="A32" i="39"/>
  <c r="M31" i="39"/>
  <c r="B31" i="39"/>
  <c r="A31" i="39"/>
  <c r="K30" i="39"/>
  <c r="M30" i="39" s="1"/>
  <c r="B30" i="39"/>
  <c r="A30" i="39"/>
  <c r="K29" i="39"/>
  <c r="K76" i="39" s="1"/>
  <c r="B29" i="39"/>
  <c r="A29" i="39"/>
  <c r="K28" i="39"/>
  <c r="M28" i="39" s="1"/>
  <c r="B28" i="39"/>
  <c r="A28" i="39"/>
  <c r="J27" i="39"/>
  <c r="M27" i="39" s="1"/>
  <c r="B27" i="39"/>
  <c r="A27" i="39"/>
  <c r="J26" i="39"/>
  <c r="M26" i="39" s="1"/>
  <c r="B26" i="39"/>
  <c r="A26" i="39"/>
  <c r="J25" i="39"/>
  <c r="M25" i="39" s="1"/>
  <c r="B25" i="39"/>
  <c r="A25" i="39"/>
  <c r="J24" i="39"/>
  <c r="M24" i="39" s="1"/>
  <c r="B24" i="39"/>
  <c r="A24" i="39"/>
  <c r="J23" i="39"/>
  <c r="M23" i="39" s="1"/>
  <c r="B23" i="39"/>
  <c r="A23" i="39"/>
  <c r="J22" i="39"/>
  <c r="M22" i="39" s="1"/>
  <c r="B22" i="39"/>
  <c r="A22" i="39"/>
  <c r="J21" i="39"/>
  <c r="M21" i="39" s="1"/>
  <c r="B21" i="39"/>
  <c r="A21" i="39"/>
  <c r="J20" i="39"/>
  <c r="M20" i="39" s="1"/>
  <c r="B20" i="39"/>
  <c r="A20" i="39"/>
  <c r="J19" i="39"/>
  <c r="M19" i="39" s="1"/>
  <c r="B19" i="39"/>
  <c r="A19" i="39"/>
  <c r="J18" i="39"/>
  <c r="M18" i="39" s="1"/>
  <c r="B18" i="39"/>
  <c r="A18" i="39"/>
  <c r="J17" i="39"/>
  <c r="M17" i="39" s="1"/>
  <c r="B17" i="39"/>
  <c r="A17" i="39"/>
  <c r="J16" i="39"/>
  <c r="M16" i="39" s="1"/>
  <c r="B16" i="39"/>
  <c r="A16" i="39"/>
  <c r="J15" i="39"/>
  <c r="M15" i="39" s="1"/>
  <c r="B15" i="39"/>
  <c r="A15" i="39"/>
  <c r="H8" i="39"/>
  <c r="C8" i="39"/>
  <c r="M5" i="39"/>
  <c r="A5" i="39"/>
  <c r="M75" i="38"/>
  <c r="B75" i="38"/>
  <c r="A75" i="38"/>
  <c r="M74" i="38"/>
  <c r="C76" i="38" s="1"/>
  <c r="B74" i="38"/>
  <c r="A74" i="38"/>
  <c r="M73" i="38"/>
  <c r="B73" i="38"/>
  <c r="A73" i="38"/>
  <c r="M72" i="38"/>
  <c r="B72" i="38"/>
  <c r="A72" i="38"/>
  <c r="M71" i="38"/>
  <c r="B71" i="38"/>
  <c r="A71" i="38"/>
  <c r="J70" i="38"/>
  <c r="M70" i="38" s="1"/>
  <c r="B70" i="38"/>
  <c r="A70" i="38"/>
  <c r="K69" i="38"/>
  <c r="M69" i="38" s="1"/>
  <c r="B69" i="38"/>
  <c r="A69" i="38"/>
  <c r="K68" i="38"/>
  <c r="M68" i="38" s="1"/>
  <c r="B68" i="38"/>
  <c r="A68" i="38"/>
  <c r="K67" i="38"/>
  <c r="M67" i="38" s="1"/>
  <c r="B67" i="38"/>
  <c r="A67" i="38"/>
  <c r="L66" i="38"/>
  <c r="M66" i="38" s="1"/>
  <c r="B66" i="38"/>
  <c r="A66" i="38"/>
  <c r="O65" i="38"/>
  <c r="L65" i="38"/>
  <c r="M65" i="38" s="1"/>
  <c r="B65" i="38"/>
  <c r="A65" i="38"/>
  <c r="O64" i="38"/>
  <c r="M64" i="38"/>
  <c r="L64" i="38"/>
  <c r="B64" i="38"/>
  <c r="A64" i="38"/>
  <c r="L63" i="38"/>
  <c r="M63" i="38" s="1"/>
  <c r="B63" i="38"/>
  <c r="A63" i="38"/>
  <c r="O62" i="38"/>
  <c r="L62" i="38"/>
  <c r="M62" i="38" s="1"/>
  <c r="B62" i="38"/>
  <c r="A62" i="38"/>
  <c r="L61" i="38"/>
  <c r="M61" i="38" s="1"/>
  <c r="B61" i="38"/>
  <c r="A61" i="38"/>
  <c r="O60" i="38"/>
  <c r="L60" i="38"/>
  <c r="M60" i="38" s="1"/>
  <c r="B60" i="38"/>
  <c r="A60" i="38"/>
  <c r="L59" i="38"/>
  <c r="M59" i="38" s="1"/>
  <c r="B59" i="38"/>
  <c r="A59" i="38"/>
  <c r="O58" i="38"/>
  <c r="L58" i="38"/>
  <c r="M58" i="38" s="1"/>
  <c r="B58" i="38"/>
  <c r="A58" i="38"/>
  <c r="L57" i="38"/>
  <c r="M57" i="38" s="1"/>
  <c r="B57" i="38"/>
  <c r="A57" i="38"/>
  <c r="O56" i="38"/>
  <c r="L56" i="38"/>
  <c r="M56" i="38" s="1"/>
  <c r="B56" i="38"/>
  <c r="A56" i="38"/>
  <c r="M55" i="38"/>
  <c r="L55" i="38"/>
  <c r="B55" i="38"/>
  <c r="A55" i="38"/>
  <c r="O54" i="38"/>
  <c r="L54" i="38"/>
  <c r="M54" i="38" s="1"/>
  <c r="B54" i="38"/>
  <c r="A54" i="38"/>
  <c r="L53" i="38"/>
  <c r="M53" i="38" s="1"/>
  <c r="B53" i="38"/>
  <c r="A53" i="38"/>
  <c r="L52" i="38"/>
  <c r="M52" i="38" s="1"/>
  <c r="B52" i="38"/>
  <c r="A52" i="38"/>
  <c r="L51" i="38"/>
  <c r="M51" i="38" s="1"/>
  <c r="B51" i="38"/>
  <c r="A51" i="38"/>
  <c r="L50" i="38"/>
  <c r="M50" i="38" s="1"/>
  <c r="B50" i="38"/>
  <c r="A50" i="38"/>
  <c r="L49" i="38"/>
  <c r="M49" i="38" s="1"/>
  <c r="B49" i="38"/>
  <c r="A49" i="38"/>
  <c r="L48" i="38"/>
  <c r="M48" i="38" s="1"/>
  <c r="B48" i="38"/>
  <c r="A48" i="38"/>
  <c r="L47" i="38"/>
  <c r="M47" i="38" s="1"/>
  <c r="B47" i="38"/>
  <c r="A47" i="38"/>
  <c r="L46" i="38"/>
  <c r="B46" i="38"/>
  <c r="A46" i="38"/>
  <c r="J45" i="38"/>
  <c r="M45" i="38" s="1"/>
  <c r="B45" i="38"/>
  <c r="A45" i="38"/>
  <c r="J44" i="38"/>
  <c r="M44" i="38" s="1"/>
  <c r="B44" i="38"/>
  <c r="A44" i="38"/>
  <c r="O43" i="38"/>
  <c r="K43" i="38"/>
  <c r="M43" i="38" s="1"/>
  <c r="B43" i="38"/>
  <c r="A43" i="38"/>
  <c r="O42" i="38"/>
  <c r="K42" i="38"/>
  <c r="M42" i="38" s="1"/>
  <c r="B42" i="38"/>
  <c r="A42" i="38"/>
  <c r="O41" i="38"/>
  <c r="K41" i="38"/>
  <c r="M41" i="38" s="1"/>
  <c r="B41" i="38"/>
  <c r="A41" i="38"/>
  <c r="O40" i="38"/>
  <c r="K40" i="38"/>
  <c r="M40" i="38" s="1"/>
  <c r="B40" i="38"/>
  <c r="A40" i="38"/>
  <c r="O39" i="38"/>
  <c r="K39" i="38"/>
  <c r="M39" i="38" s="1"/>
  <c r="B39" i="38"/>
  <c r="A39" i="38"/>
  <c r="O38" i="38"/>
  <c r="K38" i="38"/>
  <c r="M38" i="38" s="1"/>
  <c r="B38" i="38"/>
  <c r="A38" i="38"/>
  <c r="K37" i="38"/>
  <c r="M37" i="38" s="1"/>
  <c r="B37" i="38"/>
  <c r="A37" i="38"/>
  <c r="K36" i="38"/>
  <c r="M36" i="38" s="1"/>
  <c r="B36" i="38"/>
  <c r="A36" i="38"/>
  <c r="O35" i="38"/>
  <c r="K35" i="38"/>
  <c r="M35" i="38" s="1"/>
  <c r="B35" i="38"/>
  <c r="A35" i="38"/>
  <c r="O34" i="38"/>
  <c r="M34" i="38"/>
  <c r="K34" i="38"/>
  <c r="B34" i="38"/>
  <c r="A34" i="38"/>
  <c r="K33" i="38"/>
  <c r="M33" i="38" s="1"/>
  <c r="B33" i="38"/>
  <c r="A33" i="38"/>
  <c r="M32" i="38"/>
  <c r="K32" i="38"/>
  <c r="B32" i="38"/>
  <c r="A32" i="38"/>
  <c r="M31" i="38"/>
  <c r="B31" i="38"/>
  <c r="A31" i="38"/>
  <c r="K30" i="38"/>
  <c r="M30" i="38" s="1"/>
  <c r="B30" i="38"/>
  <c r="A30" i="38"/>
  <c r="K29" i="38"/>
  <c r="B29" i="38"/>
  <c r="A29" i="38"/>
  <c r="K28" i="38"/>
  <c r="M28" i="38" s="1"/>
  <c r="B28" i="38"/>
  <c r="A28" i="38"/>
  <c r="J27" i="38"/>
  <c r="M27" i="38" s="1"/>
  <c r="B27" i="38"/>
  <c r="A27" i="38"/>
  <c r="J26" i="38"/>
  <c r="M26" i="38" s="1"/>
  <c r="B26" i="38"/>
  <c r="A26" i="38"/>
  <c r="J25" i="38"/>
  <c r="M25" i="38" s="1"/>
  <c r="B25" i="38"/>
  <c r="A25" i="38"/>
  <c r="J24" i="38"/>
  <c r="M24" i="38" s="1"/>
  <c r="B24" i="38"/>
  <c r="A24" i="38"/>
  <c r="M23" i="38"/>
  <c r="J23" i="38"/>
  <c r="B23" i="38"/>
  <c r="A23" i="38"/>
  <c r="J22" i="38"/>
  <c r="M22" i="38" s="1"/>
  <c r="B22" i="38"/>
  <c r="A22" i="38"/>
  <c r="J21" i="38"/>
  <c r="M21" i="38" s="1"/>
  <c r="B21" i="38"/>
  <c r="A21" i="38"/>
  <c r="J20" i="38"/>
  <c r="M20" i="38" s="1"/>
  <c r="B20" i="38"/>
  <c r="A20" i="38"/>
  <c r="J19" i="38"/>
  <c r="M19" i="38" s="1"/>
  <c r="B19" i="38"/>
  <c r="A19" i="38"/>
  <c r="J18" i="38"/>
  <c r="M18" i="38" s="1"/>
  <c r="B18" i="38"/>
  <c r="A18" i="38"/>
  <c r="J17" i="38"/>
  <c r="M17" i="38" s="1"/>
  <c r="B17" i="38"/>
  <c r="A17" i="38"/>
  <c r="J16" i="38"/>
  <c r="M16" i="38" s="1"/>
  <c r="B16" i="38"/>
  <c r="A16" i="38"/>
  <c r="J15" i="38"/>
  <c r="B15" i="38"/>
  <c r="A15" i="38"/>
  <c r="H8" i="38"/>
  <c r="C8" i="38"/>
  <c r="M5" i="38"/>
  <c r="A5" i="38"/>
  <c r="M75" i="37"/>
  <c r="B75" i="37"/>
  <c r="A75" i="37"/>
  <c r="M74" i="37"/>
  <c r="B74" i="37"/>
  <c r="A74" i="37"/>
  <c r="M73" i="37"/>
  <c r="B73" i="37"/>
  <c r="A73" i="37"/>
  <c r="M72" i="37"/>
  <c r="B72" i="37"/>
  <c r="A72" i="37"/>
  <c r="M71" i="37"/>
  <c r="B71" i="37"/>
  <c r="A71" i="37"/>
  <c r="J70" i="37"/>
  <c r="M70" i="37" s="1"/>
  <c r="B70" i="37"/>
  <c r="A70" i="37"/>
  <c r="K69" i="37"/>
  <c r="M69" i="37" s="1"/>
  <c r="B69" i="37"/>
  <c r="A69" i="37"/>
  <c r="K68" i="37"/>
  <c r="M68" i="37" s="1"/>
  <c r="B68" i="37"/>
  <c r="A68" i="37"/>
  <c r="K67" i="37"/>
  <c r="M67" i="37" s="1"/>
  <c r="B67" i="37"/>
  <c r="A67" i="37"/>
  <c r="L66" i="37"/>
  <c r="M66" i="37" s="1"/>
  <c r="B66" i="37"/>
  <c r="A66" i="37"/>
  <c r="O65" i="37"/>
  <c r="L65" i="37"/>
  <c r="M65" i="37" s="1"/>
  <c r="B65" i="37"/>
  <c r="A65" i="37"/>
  <c r="O64" i="37"/>
  <c r="L64" i="37"/>
  <c r="M64" i="37" s="1"/>
  <c r="B64" i="37"/>
  <c r="A64" i="37"/>
  <c r="L63" i="37"/>
  <c r="M63" i="37" s="1"/>
  <c r="B63" i="37"/>
  <c r="A63" i="37"/>
  <c r="O62" i="37"/>
  <c r="L62" i="37"/>
  <c r="M62" i="37" s="1"/>
  <c r="B62" i="37"/>
  <c r="A62" i="37"/>
  <c r="L61" i="37"/>
  <c r="M61" i="37" s="1"/>
  <c r="B61" i="37"/>
  <c r="A61" i="37"/>
  <c r="O60" i="37"/>
  <c r="L60" i="37"/>
  <c r="M60" i="37" s="1"/>
  <c r="B60" i="37"/>
  <c r="A60" i="37"/>
  <c r="L59" i="37"/>
  <c r="M59" i="37" s="1"/>
  <c r="B59" i="37"/>
  <c r="A59" i="37"/>
  <c r="O58" i="37"/>
  <c r="M58" i="37"/>
  <c r="L58" i="37"/>
  <c r="B58" i="37"/>
  <c r="A58" i="37"/>
  <c r="L57" i="37"/>
  <c r="M57" i="37" s="1"/>
  <c r="B57" i="37"/>
  <c r="A57" i="37"/>
  <c r="O56" i="37"/>
  <c r="L56" i="37"/>
  <c r="M56" i="37" s="1"/>
  <c r="B56" i="37"/>
  <c r="A56" i="37"/>
  <c r="L55" i="37"/>
  <c r="M55" i="37" s="1"/>
  <c r="B55" i="37"/>
  <c r="A55" i="37"/>
  <c r="O54" i="37"/>
  <c r="L54" i="37"/>
  <c r="M54" i="37" s="1"/>
  <c r="B54" i="37"/>
  <c r="A54" i="37"/>
  <c r="L53" i="37"/>
  <c r="M53" i="37" s="1"/>
  <c r="B53" i="37"/>
  <c r="A53" i="37"/>
  <c r="L52" i="37"/>
  <c r="M52" i="37" s="1"/>
  <c r="B52" i="37"/>
  <c r="A52" i="37"/>
  <c r="L51" i="37"/>
  <c r="M51" i="37" s="1"/>
  <c r="B51" i="37"/>
  <c r="A51" i="37"/>
  <c r="L50" i="37"/>
  <c r="M50" i="37" s="1"/>
  <c r="B50" i="37"/>
  <c r="A50" i="37"/>
  <c r="L49" i="37"/>
  <c r="M49" i="37" s="1"/>
  <c r="B49" i="37"/>
  <c r="A49" i="37"/>
  <c r="L48" i="37"/>
  <c r="M48" i="37" s="1"/>
  <c r="B48" i="37"/>
  <c r="A48" i="37"/>
  <c r="L47" i="37"/>
  <c r="M47" i="37" s="1"/>
  <c r="B47" i="37"/>
  <c r="A47" i="37"/>
  <c r="L46" i="37"/>
  <c r="B46" i="37"/>
  <c r="A46" i="37"/>
  <c r="M45" i="37"/>
  <c r="J45" i="37"/>
  <c r="B45" i="37"/>
  <c r="A45" i="37"/>
  <c r="J44" i="37"/>
  <c r="M44" i="37" s="1"/>
  <c r="B44" i="37"/>
  <c r="A44" i="37"/>
  <c r="O43" i="37"/>
  <c r="K43" i="37"/>
  <c r="M43" i="37" s="1"/>
  <c r="B43" i="37"/>
  <c r="A43" i="37"/>
  <c r="O42" i="37"/>
  <c r="K42" i="37"/>
  <c r="M42" i="37" s="1"/>
  <c r="B42" i="37"/>
  <c r="A42" i="37"/>
  <c r="O41" i="37"/>
  <c r="K41" i="37"/>
  <c r="M41" i="37" s="1"/>
  <c r="B41" i="37"/>
  <c r="A41" i="37"/>
  <c r="O40" i="37"/>
  <c r="K40" i="37"/>
  <c r="M40" i="37" s="1"/>
  <c r="B40" i="37"/>
  <c r="A40" i="37"/>
  <c r="O39" i="37"/>
  <c r="K39" i="37"/>
  <c r="M39" i="37" s="1"/>
  <c r="B39" i="37"/>
  <c r="A39" i="37"/>
  <c r="O38" i="37"/>
  <c r="K38" i="37"/>
  <c r="M38" i="37" s="1"/>
  <c r="B38" i="37"/>
  <c r="A38" i="37"/>
  <c r="K37" i="37"/>
  <c r="M37" i="37" s="1"/>
  <c r="B37" i="37"/>
  <c r="A37" i="37"/>
  <c r="K36" i="37"/>
  <c r="M36" i="37" s="1"/>
  <c r="B36" i="37"/>
  <c r="A36" i="37"/>
  <c r="O35" i="37"/>
  <c r="K35" i="37"/>
  <c r="M35" i="37" s="1"/>
  <c r="B35" i="37"/>
  <c r="A35" i="37"/>
  <c r="O34" i="37"/>
  <c r="M34" i="37"/>
  <c r="K34" i="37"/>
  <c r="B34" i="37"/>
  <c r="A34" i="37"/>
  <c r="K33" i="37"/>
  <c r="M33" i="37" s="1"/>
  <c r="B33" i="37"/>
  <c r="A33" i="37"/>
  <c r="K32" i="37"/>
  <c r="M32" i="37" s="1"/>
  <c r="B32" i="37"/>
  <c r="A32" i="37"/>
  <c r="M31" i="37"/>
  <c r="B31" i="37"/>
  <c r="A31" i="37"/>
  <c r="K30" i="37"/>
  <c r="M30" i="37" s="1"/>
  <c r="B30" i="37"/>
  <c r="A30" i="37"/>
  <c r="K29" i="37"/>
  <c r="B29" i="37"/>
  <c r="A29" i="37"/>
  <c r="K28" i="37"/>
  <c r="M28" i="37" s="1"/>
  <c r="B28" i="37"/>
  <c r="A28" i="37"/>
  <c r="J27" i="37"/>
  <c r="M27" i="37" s="1"/>
  <c r="B27" i="37"/>
  <c r="A27" i="37"/>
  <c r="J26" i="37"/>
  <c r="M26" i="37" s="1"/>
  <c r="B26" i="37"/>
  <c r="A26" i="37"/>
  <c r="J25" i="37"/>
  <c r="M25" i="37" s="1"/>
  <c r="B25" i="37"/>
  <c r="A25" i="37"/>
  <c r="J24" i="37"/>
  <c r="M24" i="37" s="1"/>
  <c r="B24" i="37"/>
  <c r="A24" i="37"/>
  <c r="J23" i="37"/>
  <c r="M23" i="37" s="1"/>
  <c r="B23" i="37"/>
  <c r="A23" i="37"/>
  <c r="J22" i="37"/>
  <c r="M22" i="37" s="1"/>
  <c r="B22" i="37"/>
  <c r="A22" i="37"/>
  <c r="J21" i="37"/>
  <c r="M21" i="37" s="1"/>
  <c r="B21" i="37"/>
  <c r="A21" i="37"/>
  <c r="J20" i="37"/>
  <c r="M20" i="37" s="1"/>
  <c r="B20" i="37"/>
  <c r="A20" i="37"/>
  <c r="J19" i="37"/>
  <c r="M19" i="37" s="1"/>
  <c r="B19" i="37"/>
  <c r="A19" i="37"/>
  <c r="J18" i="37"/>
  <c r="M18" i="37" s="1"/>
  <c r="B18" i="37"/>
  <c r="A18" i="37"/>
  <c r="J17" i="37"/>
  <c r="M17" i="37" s="1"/>
  <c r="B17" i="37"/>
  <c r="A17" i="37"/>
  <c r="J16" i="37"/>
  <c r="M16" i="37" s="1"/>
  <c r="B16" i="37"/>
  <c r="A16" i="37"/>
  <c r="J15" i="37"/>
  <c r="M15" i="37" s="1"/>
  <c r="B15" i="37"/>
  <c r="A15" i="37"/>
  <c r="H8" i="37"/>
  <c r="C8" i="37"/>
  <c r="M5" i="37"/>
  <c r="A5" i="37"/>
  <c r="M75" i="36"/>
  <c r="B75" i="36"/>
  <c r="A75" i="36"/>
  <c r="M74" i="36"/>
  <c r="B74" i="36"/>
  <c r="A74" i="36"/>
  <c r="M73" i="36"/>
  <c r="B73" i="36"/>
  <c r="A73" i="36"/>
  <c r="M72" i="36"/>
  <c r="B72" i="36"/>
  <c r="A72" i="36"/>
  <c r="M71" i="36"/>
  <c r="B71" i="36"/>
  <c r="A71" i="36"/>
  <c r="J70" i="36"/>
  <c r="M70" i="36" s="1"/>
  <c r="B70" i="36"/>
  <c r="A70" i="36"/>
  <c r="K69" i="36"/>
  <c r="M69" i="36" s="1"/>
  <c r="B69" i="36"/>
  <c r="A69" i="36"/>
  <c r="K68" i="36"/>
  <c r="M68" i="36" s="1"/>
  <c r="B68" i="36"/>
  <c r="A68" i="36"/>
  <c r="K67" i="36"/>
  <c r="M67" i="36" s="1"/>
  <c r="B67" i="36"/>
  <c r="A67" i="36"/>
  <c r="L66" i="36"/>
  <c r="M66" i="36" s="1"/>
  <c r="B66" i="36"/>
  <c r="A66" i="36"/>
  <c r="O65" i="36"/>
  <c r="L65" i="36"/>
  <c r="M65" i="36" s="1"/>
  <c r="B65" i="36"/>
  <c r="A65" i="36"/>
  <c r="O64" i="36"/>
  <c r="L64" i="36"/>
  <c r="M64" i="36" s="1"/>
  <c r="B64" i="36"/>
  <c r="A64" i="36"/>
  <c r="L63" i="36"/>
  <c r="M63" i="36" s="1"/>
  <c r="B63" i="36"/>
  <c r="A63" i="36"/>
  <c r="O62" i="36"/>
  <c r="L62" i="36"/>
  <c r="M62" i="36" s="1"/>
  <c r="B62" i="36"/>
  <c r="A62" i="36"/>
  <c r="L61" i="36"/>
  <c r="M61" i="36" s="1"/>
  <c r="B61" i="36"/>
  <c r="A61" i="36"/>
  <c r="O60" i="36"/>
  <c r="L60" i="36"/>
  <c r="M60" i="36" s="1"/>
  <c r="B60" i="36"/>
  <c r="A60" i="36"/>
  <c r="L59" i="36"/>
  <c r="M59" i="36" s="1"/>
  <c r="B59" i="36"/>
  <c r="A59" i="36"/>
  <c r="O58" i="36"/>
  <c r="L58" i="36"/>
  <c r="M58" i="36" s="1"/>
  <c r="B58" i="36"/>
  <c r="A58" i="36"/>
  <c r="L57" i="36"/>
  <c r="M57" i="36" s="1"/>
  <c r="B57" i="36"/>
  <c r="A57" i="36"/>
  <c r="O56" i="36"/>
  <c r="L56" i="36"/>
  <c r="M56" i="36" s="1"/>
  <c r="B56" i="36"/>
  <c r="A56" i="36"/>
  <c r="M55" i="36"/>
  <c r="L55" i="36"/>
  <c r="B55" i="36"/>
  <c r="A55" i="36"/>
  <c r="O54" i="36"/>
  <c r="L54" i="36"/>
  <c r="M54" i="36" s="1"/>
  <c r="B54" i="36"/>
  <c r="A54" i="36"/>
  <c r="L53" i="36"/>
  <c r="M53" i="36" s="1"/>
  <c r="B53" i="36"/>
  <c r="A53" i="36"/>
  <c r="L52" i="36"/>
  <c r="M52" i="36" s="1"/>
  <c r="B52" i="36"/>
  <c r="A52" i="36"/>
  <c r="L51" i="36"/>
  <c r="M51" i="36" s="1"/>
  <c r="B51" i="36"/>
  <c r="A51" i="36"/>
  <c r="L50" i="36"/>
  <c r="M50" i="36" s="1"/>
  <c r="B50" i="36"/>
  <c r="A50" i="36"/>
  <c r="L49" i="36"/>
  <c r="M49" i="36" s="1"/>
  <c r="B49" i="36"/>
  <c r="A49" i="36"/>
  <c r="L48" i="36"/>
  <c r="B48" i="36"/>
  <c r="A48" i="36"/>
  <c r="L47" i="36"/>
  <c r="M47" i="36" s="1"/>
  <c r="B47" i="36"/>
  <c r="A47" i="36"/>
  <c r="L46" i="36"/>
  <c r="M46" i="36" s="1"/>
  <c r="B46" i="36"/>
  <c r="A46" i="36"/>
  <c r="J45" i="36"/>
  <c r="M45" i="36" s="1"/>
  <c r="B45" i="36"/>
  <c r="A45" i="36"/>
  <c r="J44" i="36"/>
  <c r="M44" i="36" s="1"/>
  <c r="B44" i="36"/>
  <c r="A44" i="36"/>
  <c r="O43" i="36"/>
  <c r="K43" i="36"/>
  <c r="M43" i="36" s="1"/>
  <c r="B43" i="36"/>
  <c r="A43" i="36"/>
  <c r="O42" i="36"/>
  <c r="K42" i="36"/>
  <c r="M42" i="36" s="1"/>
  <c r="B42" i="36"/>
  <c r="A42" i="36"/>
  <c r="O41" i="36"/>
  <c r="K41" i="36"/>
  <c r="M41" i="36" s="1"/>
  <c r="B41" i="36"/>
  <c r="A41" i="36"/>
  <c r="O40" i="36"/>
  <c r="K40" i="36"/>
  <c r="M40" i="36" s="1"/>
  <c r="B40" i="36"/>
  <c r="A40" i="36"/>
  <c r="O39" i="36"/>
  <c r="K39" i="36"/>
  <c r="M39" i="36" s="1"/>
  <c r="B39" i="36"/>
  <c r="A39" i="36"/>
  <c r="O38" i="36"/>
  <c r="K38" i="36"/>
  <c r="M38" i="36" s="1"/>
  <c r="B38" i="36"/>
  <c r="A38" i="36"/>
  <c r="K37" i="36"/>
  <c r="M37" i="36" s="1"/>
  <c r="B37" i="36"/>
  <c r="A37" i="36"/>
  <c r="K36" i="36"/>
  <c r="M36" i="36" s="1"/>
  <c r="B36" i="36"/>
  <c r="A36" i="36"/>
  <c r="O35" i="36"/>
  <c r="K35" i="36"/>
  <c r="M35" i="36" s="1"/>
  <c r="B35" i="36"/>
  <c r="A35" i="36"/>
  <c r="O34" i="36"/>
  <c r="M34" i="36"/>
  <c r="K34" i="36"/>
  <c r="B34" i="36"/>
  <c r="A34" i="36"/>
  <c r="K33" i="36"/>
  <c r="M33" i="36" s="1"/>
  <c r="B33" i="36"/>
  <c r="A33" i="36"/>
  <c r="K32" i="36"/>
  <c r="M32" i="36" s="1"/>
  <c r="B32" i="36"/>
  <c r="A32" i="36"/>
  <c r="M31" i="36"/>
  <c r="B31" i="36"/>
  <c r="A31" i="36"/>
  <c r="K30" i="36"/>
  <c r="M30" i="36" s="1"/>
  <c r="B30" i="36"/>
  <c r="A30" i="36"/>
  <c r="K29" i="36"/>
  <c r="M29" i="36" s="1"/>
  <c r="B29" i="36"/>
  <c r="A29" i="36"/>
  <c r="K28" i="36"/>
  <c r="M28" i="36" s="1"/>
  <c r="B28" i="36"/>
  <c r="A28" i="36"/>
  <c r="J27" i="36"/>
  <c r="M27" i="36" s="1"/>
  <c r="B27" i="36"/>
  <c r="A27" i="36"/>
  <c r="J26" i="36"/>
  <c r="M26" i="36" s="1"/>
  <c r="B26" i="36"/>
  <c r="A26" i="36"/>
  <c r="J25" i="36"/>
  <c r="M25" i="36" s="1"/>
  <c r="B25" i="36"/>
  <c r="A25" i="36"/>
  <c r="J24" i="36"/>
  <c r="M24" i="36" s="1"/>
  <c r="B24" i="36"/>
  <c r="A24" i="36"/>
  <c r="J23" i="36"/>
  <c r="M23" i="36" s="1"/>
  <c r="B23" i="36"/>
  <c r="A23" i="36"/>
  <c r="J22" i="36"/>
  <c r="M22" i="36" s="1"/>
  <c r="B22" i="36"/>
  <c r="A22" i="36"/>
  <c r="J21" i="36"/>
  <c r="M21" i="36" s="1"/>
  <c r="B21" i="36"/>
  <c r="A21" i="36"/>
  <c r="J20" i="36"/>
  <c r="M20" i="36" s="1"/>
  <c r="B20" i="36"/>
  <c r="A20" i="36"/>
  <c r="J19" i="36"/>
  <c r="M19" i="36" s="1"/>
  <c r="B19" i="36"/>
  <c r="A19" i="36"/>
  <c r="J18" i="36"/>
  <c r="M18" i="36" s="1"/>
  <c r="B18" i="36"/>
  <c r="A18" i="36"/>
  <c r="J17" i="36"/>
  <c r="M17" i="36" s="1"/>
  <c r="B17" i="36"/>
  <c r="A17" i="36"/>
  <c r="J16" i="36"/>
  <c r="M16" i="36" s="1"/>
  <c r="B16" i="36"/>
  <c r="A16" i="36"/>
  <c r="J15" i="36"/>
  <c r="B15" i="36"/>
  <c r="A15" i="36"/>
  <c r="H8" i="36"/>
  <c r="C8" i="36"/>
  <c r="M5" i="36"/>
  <c r="A5" i="36"/>
  <c r="M75" i="35"/>
  <c r="B75" i="35"/>
  <c r="A75" i="35"/>
  <c r="M74" i="35"/>
  <c r="B74" i="35"/>
  <c r="A74" i="35"/>
  <c r="M73" i="35"/>
  <c r="B73" i="35"/>
  <c r="A73" i="35"/>
  <c r="M72" i="35"/>
  <c r="B72" i="35"/>
  <c r="A72" i="35"/>
  <c r="M71" i="35"/>
  <c r="B71" i="35"/>
  <c r="A71" i="35"/>
  <c r="J70" i="35"/>
  <c r="M70" i="35" s="1"/>
  <c r="B70" i="35"/>
  <c r="A70" i="35"/>
  <c r="K69" i="35"/>
  <c r="M69" i="35" s="1"/>
  <c r="B69" i="35"/>
  <c r="A69" i="35"/>
  <c r="K68" i="35"/>
  <c r="M68" i="35" s="1"/>
  <c r="B68" i="35"/>
  <c r="A68" i="35"/>
  <c r="K67" i="35"/>
  <c r="M67" i="35" s="1"/>
  <c r="B67" i="35"/>
  <c r="A67" i="35"/>
  <c r="L66" i="35"/>
  <c r="M66" i="35" s="1"/>
  <c r="B66" i="35"/>
  <c r="A66" i="35"/>
  <c r="O65" i="35"/>
  <c r="L65" i="35"/>
  <c r="M65" i="35" s="1"/>
  <c r="B65" i="35"/>
  <c r="A65" i="35"/>
  <c r="O64" i="35"/>
  <c r="L64" i="35"/>
  <c r="M64" i="35" s="1"/>
  <c r="B64" i="35"/>
  <c r="A64" i="35"/>
  <c r="L63" i="35"/>
  <c r="M63" i="35" s="1"/>
  <c r="B63" i="35"/>
  <c r="A63" i="35"/>
  <c r="O62" i="35"/>
  <c r="L62" i="35"/>
  <c r="M62" i="35" s="1"/>
  <c r="B62" i="35"/>
  <c r="A62" i="35"/>
  <c r="L61" i="35"/>
  <c r="M61" i="35" s="1"/>
  <c r="B61" i="35"/>
  <c r="A61" i="35"/>
  <c r="O60" i="35"/>
  <c r="L60" i="35"/>
  <c r="M60" i="35" s="1"/>
  <c r="B60" i="35"/>
  <c r="A60" i="35"/>
  <c r="L59" i="35"/>
  <c r="M59" i="35" s="1"/>
  <c r="B59" i="35"/>
  <c r="A59" i="35"/>
  <c r="O58" i="35"/>
  <c r="M58" i="35"/>
  <c r="L58" i="35"/>
  <c r="B58" i="35"/>
  <c r="A58" i="35"/>
  <c r="L57" i="35"/>
  <c r="M57" i="35" s="1"/>
  <c r="B57" i="35"/>
  <c r="A57" i="35"/>
  <c r="O56" i="35"/>
  <c r="L56" i="35"/>
  <c r="M56" i="35" s="1"/>
  <c r="B56" i="35"/>
  <c r="A56" i="35"/>
  <c r="L55" i="35"/>
  <c r="M55" i="35" s="1"/>
  <c r="B55" i="35"/>
  <c r="A55" i="35"/>
  <c r="O54" i="35"/>
  <c r="L54" i="35"/>
  <c r="M54" i="35" s="1"/>
  <c r="B54" i="35"/>
  <c r="A54" i="35"/>
  <c r="L53" i="35"/>
  <c r="M53" i="35" s="1"/>
  <c r="B53" i="35"/>
  <c r="A53" i="35"/>
  <c r="L52" i="35"/>
  <c r="M52" i="35" s="1"/>
  <c r="B52" i="35"/>
  <c r="A52" i="35"/>
  <c r="L51" i="35"/>
  <c r="M51" i="35" s="1"/>
  <c r="B51" i="35"/>
  <c r="A51" i="35"/>
  <c r="L50" i="35"/>
  <c r="M50" i="35" s="1"/>
  <c r="B50" i="35"/>
  <c r="A50" i="35"/>
  <c r="L49" i="35"/>
  <c r="M49" i="35" s="1"/>
  <c r="B49" i="35"/>
  <c r="A49" i="35"/>
  <c r="L48" i="35"/>
  <c r="M48" i="35" s="1"/>
  <c r="B48" i="35"/>
  <c r="A48" i="35"/>
  <c r="L47" i="35"/>
  <c r="M47" i="35" s="1"/>
  <c r="B47" i="35"/>
  <c r="A47" i="35"/>
  <c r="L46" i="35"/>
  <c r="L76" i="35" s="1"/>
  <c r="B46" i="35"/>
  <c r="A46" i="35"/>
  <c r="J45" i="35"/>
  <c r="M45" i="35" s="1"/>
  <c r="B45" i="35"/>
  <c r="A45" i="35"/>
  <c r="J44" i="35"/>
  <c r="M44" i="35" s="1"/>
  <c r="B44" i="35"/>
  <c r="A44" i="35"/>
  <c r="O43" i="35"/>
  <c r="K43" i="35"/>
  <c r="M43" i="35" s="1"/>
  <c r="B43" i="35"/>
  <c r="A43" i="35"/>
  <c r="O42" i="35"/>
  <c r="K42" i="35"/>
  <c r="M42" i="35" s="1"/>
  <c r="B42" i="35"/>
  <c r="A42" i="35"/>
  <c r="O41" i="35"/>
  <c r="K41" i="35"/>
  <c r="M41" i="35" s="1"/>
  <c r="B41" i="35"/>
  <c r="A41" i="35"/>
  <c r="O40" i="35"/>
  <c r="K40" i="35"/>
  <c r="M40" i="35" s="1"/>
  <c r="B40" i="35"/>
  <c r="A40" i="35"/>
  <c r="O39" i="35"/>
  <c r="K39" i="35"/>
  <c r="M39" i="35" s="1"/>
  <c r="B39" i="35"/>
  <c r="A39" i="35"/>
  <c r="O38" i="35"/>
  <c r="K38" i="35"/>
  <c r="M38" i="35" s="1"/>
  <c r="B38" i="35"/>
  <c r="A38" i="35"/>
  <c r="K37" i="35"/>
  <c r="M37" i="35" s="1"/>
  <c r="B37" i="35"/>
  <c r="A37" i="35"/>
  <c r="K36" i="35"/>
  <c r="M36" i="35" s="1"/>
  <c r="B36" i="35"/>
  <c r="A36" i="35"/>
  <c r="O35" i="35"/>
  <c r="K35" i="35"/>
  <c r="M35" i="35" s="1"/>
  <c r="B35" i="35"/>
  <c r="A35" i="35"/>
  <c r="O34" i="35"/>
  <c r="M34" i="35"/>
  <c r="K34" i="35"/>
  <c r="B34" i="35"/>
  <c r="A34" i="35"/>
  <c r="K33" i="35"/>
  <c r="M33" i="35" s="1"/>
  <c r="B33" i="35"/>
  <c r="A33" i="35"/>
  <c r="K32" i="35"/>
  <c r="M32" i="35" s="1"/>
  <c r="B32" i="35"/>
  <c r="A32" i="35"/>
  <c r="M31" i="35"/>
  <c r="B31" i="35"/>
  <c r="A31" i="35"/>
  <c r="K30" i="35"/>
  <c r="M30" i="35" s="1"/>
  <c r="B30" i="35"/>
  <c r="A30" i="35"/>
  <c r="K29" i="35"/>
  <c r="M29" i="35" s="1"/>
  <c r="B29" i="35"/>
  <c r="A29" i="35"/>
  <c r="K28" i="35"/>
  <c r="M28" i="35" s="1"/>
  <c r="B28" i="35"/>
  <c r="A28" i="35"/>
  <c r="J27" i="35"/>
  <c r="M27" i="35" s="1"/>
  <c r="B27" i="35"/>
  <c r="A27" i="35"/>
  <c r="J26" i="35"/>
  <c r="M26" i="35" s="1"/>
  <c r="B26" i="35"/>
  <c r="A26" i="35"/>
  <c r="J25" i="35"/>
  <c r="M25" i="35" s="1"/>
  <c r="B25" i="35"/>
  <c r="A25" i="35"/>
  <c r="J24" i="35"/>
  <c r="M24" i="35" s="1"/>
  <c r="B24" i="35"/>
  <c r="A24" i="35"/>
  <c r="J23" i="35"/>
  <c r="M23" i="35" s="1"/>
  <c r="B23" i="35"/>
  <c r="A23" i="35"/>
  <c r="J22" i="35"/>
  <c r="M22" i="35" s="1"/>
  <c r="B22" i="35"/>
  <c r="A22" i="35"/>
  <c r="J21" i="35"/>
  <c r="M21" i="35" s="1"/>
  <c r="B21" i="35"/>
  <c r="A21" i="35"/>
  <c r="J20" i="35"/>
  <c r="M20" i="35" s="1"/>
  <c r="B20" i="35"/>
  <c r="A20" i="35"/>
  <c r="J19" i="35"/>
  <c r="M19" i="35" s="1"/>
  <c r="B19" i="35"/>
  <c r="A19" i="35"/>
  <c r="J18" i="35"/>
  <c r="M18" i="35" s="1"/>
  <c r="B18" i="35"/>
  <c r="A18" i="35"/>
  <c r="J17" i="35"/>
  <c r="M17" i="35" s="1"/>
  <c r="B17" i="35"/>
  <c r="A17" i="35"/>
  <c r="J16" i="35"/>
  <c r="M16" i="35" s="1"/>
  <c r="B16" i="35"/>
  <c r="A16" i="35"/>
  <c r="J15" i="35"/>
  <c r="B15" i="35"/>
  <c r="A15" i="35"/>
  <c r="H8" i="35"/>
  <c r="C8" i="35"/>
  <c r="M5" i="35"/>
  <c r="A5" i="35"/>
  <c r="M75" i="34"/>
  <c r="B75" i="34"/>
  <c r="A75" i="34"/>
  <c r="M74" i="34"/>
  <c r="B74" i="34"/>
  <c r="A74" i="34"/>
  <c r="M73" i="34"/>
  <c r="C76" i="34" s="1"/>
  <c r="B73" i="34"/>
  <c r="A73" i="34"/>
  <c r="M72" i="34"/>
  <c r="B72" i="34"/>
  <c r="A72" i="34"/>
  <c r="M71" i="34"/>
  <c r="B71" i="34"/>
  <c r="A71" i="34"/>
  <c r="J70" i="34"/>
  <c r="M70" i="34" s="1"/>
  <c r="B70" i="34"/>
  <c r="A70" i="34"/>
  <c r="K69" i="34"/>
  <c r="M69" i="34" s="1"/>
  <c r="B69" i="34"/>
  <c r="A69" i="34"/>
  <c r="K68" i="34"/>
  <c r="M68" i="34" s="1"/>
  <c r="B68" i="34"/>
  <c r="A68" i="34"/>
  <c r="K67" i="34"/>
  <c r="M67" i="34" s="1"/>
  <c r="B67" i="34"/>
  <c r="A67" i="34"/>
  <c r="L66" i="34"/>
  <c r="M66" i="34" s="1"/>
  <c r="B66" i="34"/>
  <c r="A66" i="34"/>
  <c r="O65" i="34"/>
  <c r="L65" i="34"/>
  <c r="M65" i="34" s="1"/>
  <c r="B65" i="34"/>
  <c r="A65" i="34"/>
  <c r="O64" i="34"/>
  <c r="L64" i="34"/>
  <c r="M64" i="34" s="1"/>
  <c r="B64" i="34"/>
  <c r="A64" i="34"/>
  <c r="L63" i="34"/>
  <c r="M63" i="34" s="1"/>
  <c r="B63" i="34"/>
  <c r="A63" i="34"/>
  <c r="O62" i="34"/>
  <c r="L62" i="34"/>
  <c r="M62" i="34" s="1"/>
  <c r="B62" i="34"/>
  <c r="A62" i="34"/>
  <c r="L61" i="34"/>
  <c r="M61" i="34" s="1"/>
  <c r="B61" i="34"/>
  <c r="A61" i="34"/>
  <c r="O60" i="34"/>
  <c r="L60" i="34"/>
  <c r="M60" i="34" s="1"/>
  <c r="B60" i="34"/>
  <c r="A60" i="34"/>
  <c r="L59" i="34"/>
  <c r="M59" i="34" s="1"/>
  <c r="B59" i="34"/>
  <c r="A59" i="34"/>
  <c r="O58" i="34"/>
  <c r="L58" i="34"/>
  <c r="M58" i="34" s="1"/>
  <c r="B58" i="34"/>
  <c r="A58" i="34"/>
  <c r="L57" i="34"/>
  <c r="M57" i="34" s="1"/>
  <c r="B57" i="34"/>
  <c r="A57" i="34"/>
  <c r="O56" i="34"/>
  <c r="L56" i="34"/>
  <c r="M56" i="34" s="1"/>
  <c r="B56" i="34"/>
  <c r="A56" i="34"/>
  <c r="L55" i="34"/>
  <c r="M55" i="34" s="1"/>
  <c r="B55" i="34"/>
  <c r="A55" i="34"/>
  <c r="O54" i="34"/>
  <c r="L54" i="34"/>
  <c r="M54" i="34" s="1"/>
  <c r="B54" i="34"/>
  <c r="A54" i="34"/>
  <c r="L53" i="34"/>
  <c r="M53" i="34" s="1"/>
  <c r="B53" i="34"/>
  <c r="A53" i="34"/>
  <c r="L52" i="34"/>
  <c r="M52" i="34" s="1"/>
  <c r="B52" i="34"/>
  <c r="A52" i="34"/>
  <c r="L51" i="34"/>
  <c r="M51" i="34" s="1"/>
  <c r="B51" i="34"/>
  <c r="A51" i="34"/>
  <c r="L50" i="34"/>
  <c r="M50" i="34" s="1"/>
  <c r="B50" i="34"/>
  <c r="A50" i="34"/>
  <c r="L49" i="34"/>
  <c r="M49" i="34" s="1"/>
  <c r="B49" i="34"/>
  <c r="A49" i="34"/>
  <c r="L48" i="34"/>
  <c r="M48" i="34" s="1"/>
  <c r="B48" i="34"/>
  <c r="A48" i="34"/>
  <c r="L47" i="34"/>
  <c r="M47" i="34" s="1"/>
  <c r="B47" i="34"/>
  <c r="A47" i="34"/>
  <c r="L46" i="34"/>
  <c r="M46" i="34" s="1"/>
  <c r="B46" i="34"/>
  <c r="A46" i="34"/>
  <c r="J45" i="34"/>
  <c r="M45" i="34" s="1"/>
  <c r="B45" i="34"/>
  <c r="A45" i="34"/>
  <c r="J44" i="34"/>
  <c r="M44" i="34" s="1"/>
  <c r="B44" i="34"/>
  <c r="A44" i="34"/>
  <c r="O43" i="34"/>
  <c r="K43" i="34"/>
  <c r="M43" i="34" s="1"/>
  <c r="B43" i="34"/>
  <c r="A43" i="34"/>
  <c r="O42" i="34"/>
  <c r="K42" i="34"/>
  <c r="M42" i="34" s="1"/>
  <c r="B42" i="34"/>
  <c r="A42" i="34"/>
  <c r="O41" i="34"/>
  <c r="K41" i="34"/>
  <c r="M41" i="34" s="1"/>
  <c r="B41" i="34"/>
  <c r="A41" i="34"/>
  <c r="O40" i="34"/>
  <c r="K40" i="34"/>
  <c r="M40" i="34" s="1"/>
  <c r="B40" i="34"/>
  <c r="A40" i="34"/>
  <c r="O39" i="34"/>
  <c r="M39" i="34"/>
  <c r="K39" i="34"/>
  <c r="B39" i="34"/>
  <c r="A39" i="34"/>
  <c r="O38" i="34"/>
  <c r="K38" i="34"/>
  <c r="M38" i="34" s="1"/>
  <c r="B38" i="34"/>
  <c r="A38" i="34"/>
  <c r="K37" i="34"/>
  <c r="M37" i="34" s="1"/>
  <c r="B37" i="34"/>
  <c r="A37" i="34"/>
  <c r="K36" i="34"/>
  <c r="M36" i="34" s="1"/>
  <c r="B36" i="34"/>
  <c r="A36" i="34"/>
  <c r="O35" i="34"/>
  <c r="K35" i="34"/>
  <c r="M35" i="34" s="1"/>
  <c r="B35" i="34"/>
  <c r="A35" i="34"/>
  <c r="O34" i="34"/>
  <c r="M34" i="34"/>
  <c r="K34" i="34"/>
  <c r="B34" i="34"/>
  <c r="A34" i="34"/>
  <c r="K33" i="34"/>
  <c r="M33" i="34" s="1"/>
  <c r="B33" i="34"/>
  <c r="A33" i="34"/>
  <c r="K32" i="34"/>
  <c r="M32" i="34" s="1"/>
  <c r="B32" i="34"/>
  <c r="A32" i="34"/>
  <c r="M31" i="34"/>
  <c r="B31" i="34"/>
  <c r="A31" i="34"/>
  <c r="K30" i="34"/>
  <c r="M30" i="34" s="1"/>
  <c r="B30" i="34"/>
  <c r="A30" i="34"/>
  <c r="K29" i="34"/>
  <c r="B29" i="34"/>
  <c r="A29" i="34"/>
  <c r="K28" i="34"/>
  <c r="M28" i="34" s="1"/>
  <c r="B28" i="34"/>
  <c r="A28" i="34"/>
  <c r="J27" i="34"/>
  <c r="M27" i="34" s="1"/>
  <c r="B27" i="34"/>
  <c r="A27" i="34"/>
  <c r="J26" i="34"/>
  <c r="M26" i="34" s="1"/>
  <c r="B26" i="34"/>
  <c r="A26" i="34"/>
  <c r="J25" i="34"/>
  <c r="M25" i="34" s="1"/>
  <c r="B25" i="34"/>
  <c r="A25" i="34"/>
  <c r="J24" i="34"/>
  <c r="M24" i="34" s="1"/>
  <c r="B24" i="34"/>
  <c r="A24" i="34"/>
  <c r="J23" i="34"/>
  <c r="M23" i="34" s="1"/>
  <c r="B23" i="34"/>
  <c r="A23" i="34"/>
  <c r="J22" i="34"/>
  <c r="M22" i="34" s="1"/>
  <c r="B22" i="34"/>
  <c r="A22" i="34"/>
  <c r="J21" i="34"/>
  <c r="M21" i="34" s="1"/>
  <c r="B21" i="34"/>
  <c r="A21" i="34"/>
  <c r="J20" i="34"/>
  <c r="M20" i="34" s="1"/>
  <c r="B20" i="34"/>
  <c r="A20" i="34"/>
  <c r="J19" i="34"/>
  <c r="M19" i="34" s="1"/>
  <c r="B19" i="34"/>
  <c r="A19" i="34"/>
  <c r="J18" i="34"/>
  <c r="M18" i="34" s="1"/>
  <c r="B18" i="34"/>
  <c r="A18" i="34"/>
  <c r="J17" i="34"/>
  <c r="M17" i="34" s="1"/>
  <c r="B17" i="34"/>
  <c r="A17" i="34"/>
  <c r="J16" i="34"/>
  <c r="M16" i="34" s="1"/>
  <c r="B16" i="34"/>
  <c r="A16" i="34"/>
  <c r="J15" i="34"/>
  <c r="B15" i="34"/>
  <c r="A15" i="34"/>
  <c r="H8" i="34"/>
  <c r="C8" i="34"/>
  <c r="M5" i="34"/>
  <c r="A5" i="34"/>
  <c r="A16" i="33"/>
  <c r="B16" i="33"/>
  <c r="A17" i="33"/>
  <c r="B17" i="33"/>
  <c r="A18" i="33"/>
  <c r="B18" i="33"/>
  <c r="A19" i="33"/>
  <c r="B19" i="33"/>
  <c r="A20" i="33"/>
  <c r="B20" i="33"/>
  <c r="A21" i="33"/>
  <c r="B21" i="33"/>
  <c r="A22" i="33"/>
  <c r="B22" i="33"/>
  <c r="A23" i="33"/>
  <c r="B23" i="33"/>
  <c r="A24" i="33"/>
  <c r="B24" i="33"/>
  <c r="A25" i="33"/>
  <c r="B25" i="33"/>
  <c r="A26" i="33"/>
  <c r="B26" i="33"/>
  <c r="A27" i="33"/>
  <c r="B27" i="33"/>
  <c r="A28" i="33"/>
  <c r="B28" i="33"/>
  <c r="A29" i="33"/>
  <c r="B29" i="33"/>
  <c r="A30" i="33"/>
  <c r="B30" i="33"/>
  <c r="A31" i="33"/>
  <c r="B31" i="33"/>
  <c r="A32" i="33"/>
  <c r="B32" i="33"/>
  <c r="A33" i="33"/>
  <c r="B33" i="33"/>
  <c r="A34" i="33"/>
  <c r="B34" i="33"/>
  <c r="A35" i="33"/>
  <c r="B35" i="33"/>
  <c r="A36" i="33"/>
  <c r="B36" i="33"/>
  <c r="A37" i="33"/>
  <c r="B37" i="33"/>
  <c r="A38" i="33"/>
  <c r="B38" i="33"/>
  <c r="A39" i="33"/>
  <c r="B39" i="33"/>
  <c r="A40" i="33"/>
  <c r="B40" i="33"/>
  <c r="A41" i="33"/>
  <c r="B41" i="33"/>
  <c r="A42" i="33"/>
  <c r="B42" i="33"/>
  <c r="A43" i="33"/>
  <c r="B43" i="33"/>
  <c r="A44" i="33"/>
  <c r="B44" i="33"/>
  <c r="A45" i="33"/>
  <c r="B45" i="33"/>
  <c r="A46" i="33"/>
  <c r="B46" i="33"/>
  <c r="A47" i="33"/>
  <c r="B47" i="33"/>
  <c r="A48" i="33"/>
  <c r="B48" i="33"/>
  <c r="A49" i="33"/>
  <c r="B49" i="33"/>
  <c r="A50" i="33"/>
  <c r="B50" i="33"/>
  <c r="A51" i="33"/>
  <c r="B51" i="33"/>
  <c r="A52" i="33"/>
  <c r="B52" i="33"/>
  <c r="A53" i="33"/>
  <c r="B53" i="33"/>
  <c r="A54" i="33"/>
  <c r="B54" i="33"/>
  <c r="A55" i="33"/>
  <c r="B55" i="33"/>
  <c r="A56" i="33"/>
  <c r="B56" i="33"/>
  <c r="A57" i="33"/>
  <c r="B57" i="33"/>
  <c r="A58" i="33"/>
  <c r="B58" i="33"/>
  <c r="A59" i="33"/>
  <c r="B59" i="33"/>
  <c r="A60" i="33"/>
  <c r="B60" i="33"/>
  <c r="A61" i="33"/>
  <c r="B61" i="33"/>
  <c r="A62" i="33"/>
  <c r="B62" i="33"/>
  <c r="A63" i="33"/>
  <c r="B63" i="33"/>
  <c r="A64" i="33"/>
  <c r="B64" i="33"/>
  <c r="A65" i="33"/>
  <c r="B65" i="33"/>
  <c r="A66" i="33"/>
  <c r="B66" i="33"/>
  <c r="A67" i="33"/>
  <c r="B67" i="33"/>
  <c r="A68" i="33"/>
  <c r="B68" i="33"/>
  <c r="A69" i="33"/>
  <c r="B69" i="33"/>
  <c r="A70" i="33"/>
  <c r="B70" i="33"/>
  <c r="A71" i="33"/>
  <c r="B71" i="33"/>
  <c r="A72" i="33"/>
  <c r="B72" i="33"/>
  <c r="A73" i="33"/>
  <c r="B73" i="33"/>
  <c r="A74" i="33"/>
  <c r="B74" i="33"/>
  <c r="A75" i="33"/>
  <c r="B75" i="33"/>
  <c r="B15" i="33"/>
  <c r="A15" i="33"/>
  <c r="M75" i="33"/>
  <c r="M74" i="33"/>
  <c r="M73" i="33"/>
  <c r="M72" i="33"/>
  <c r="M71" i="33"/>
  <c r="J70" i="33"/>
  <c r="M70" i="33" s="1"/>
  <c r="K69" i="33"/>
  <c r="M69" i="33" s="1"/>
  <c r="K68" i="33"/>
  <c r="M68" i="33" s="1"/>
  <c r="K67" i="33"/>
  <c r="M67" i="33" s="1"/>
  <c r="L66" i="33"/>
  <c r="M66" i="33" s="1"/>
  <c r="O65" i="33"/>
  <c r="L65" i="33"/>
  <c r="M65" i="33" s="1"/>
  <c r="O64" i="33"/>
  <c r="L64" i="33"/>
  <c r="M64" i="33" s="1"/>
  <c r="L63" i="33"/>
  <c r="M63" i="33" s="1"/>
  <c r="O62" i="33"/>
  <c r="L62" i="33"/>
  <c r="M62" i="33" s="1"/>
  <c r="L61" i="33"/>
  <c r="M61" i="33" s="1"/>
  <c r="O60" i="33"/>
  <c r="L60" i="33"/>
  <c r="M60" i="33" s="1"/>
  <c r="L59" i="33"/>
  <c r="M59" i="33" s="1"/>
  <c r="O58" i="33"/>
  <c r="L58" i="33"/>
  <c r="M58" i="33" s="1"/>
  <c r="L57" i="33"/>
  <c r="M57" i="33" s="1"/>
  <c r="O56" i="33"/>
  <c r="L56" i="33"/>
  <c r="M56" i="33" s="1"/>
  <c r="L55" i="33"/>
  <c r="M55" i="33" s="1"/>
  <c r="O54" i="33"/>
  <c r="L54" i="33"/>
  <c r="M54" i="33" s="1"/>
  <c r="L53" i="33"/>
  <c r="M53" i="33" s="1"/>
  <c r="L52" i="33"/>
  <c r="M52" i="33" s="1"/>
  <c r="L51" i="33"/>
  <c r="M51" i="33" s="1"/>
  <c r="L50" i="33"/>
  <c r="M50" i="33" s="1"/>
  <c r="L49" i="33"/>
  <c r="M49" i="33" s="1"/>
  <c r="L48" i="33"/>
  <c r="M48" i="33" s="1"/>
  <c r="L47" i="33"/>
  <c r="L46" i="33"/>
  <c r="M46" i="33" s="1"/>
  <c r="J45" i="33"/>
  <c r="M45" i="33" s="1"/>
  <c r="J44" i="33"/>
  <c r="M44" i="33" s="1"/>
  <c r="O43" i="33"/>
  <c r="K43" i="33"/>
  <c r="M43" i="33" s="1"/>
  <c r="O42" i="33"/>
  <c r="M42" i="33"/>
  <c r="K42" i="33"/>
  <c r="O41" i="33"/>
  <c r="K41" i="33"/>
  <c r="M41" i="33" s="1"/>
  <c r="O40" i="33"/>
  <c r="K40" i="33"/>
  <c r="M40" i="33" s="1"/>
  <c r="O39" i="33"/>
  <c r="K39" i="33"/>
  <c r="M39" i="33" s="1"/>
  <c r="O38" i="33"/>
  <c r="K38" i="33"/>
  <c r="M38" i="33" s="1"/>
  <c r="K37" i="33"/>
  <c r="M37" i="33" s="1"/>
  <c r="K36" i="33"/>
  <c r="M36" i="33" s="1"/>
  <c r="O35" i="33"/>
  <c r="K35" i="33"/>
  <c r="M35" i="33" s="1"/>
  <c r="O34" i="33"/>
  <c r="M34" i="33"/>
  <c r="K34" i="33"/>
  <c r="K33" i="33"/>
  <c r="M33" i="33" s="1"/>
  <c r="K32" i="33"/>
  <c r="M32" i="33" s="1"/>
  <c r="M31" i="33"/>
  <c r="K30" i="33"/>
  <c r="K29" i="33"/>
  <c r="M29" i="33" s="1"/>
  <c r="K28" i="33"/>
  <c r="M28" i="33" s="1"/>
  <c r="J27" i="33"/>
  <c r="M27" i="33" s="1"/>
  <c r="J26" i="33"/>
  <c r="M26" i="33" s="1"/>
  <c r="J25" i="33"/>
  <c r="M25" i="33" s="1"/>
  <c r="J24" i="33"/>
  <c r="M24" i="33" s="1"/>
  <c r="J23" i="33"/>
  <c r="M23" i="33" s="1"/>
  <c r="J22" i="33"/>
  <c r="M22" i="33" s="1"/>
  <c r="J21" i="33"/>
  <c r="M21" i="33" s="1"/>
  <c r="J20" i="33"/>
  <c r="M20" i="33" s="1"/>
  <c r="J19" i="33"/>
  <c r="M19" i="33" s="1"/>
  <c r="J18" i="33"/>
  <c r="M18" i="33" s="1"/>
  <c r="J17" i="33"/>
  <c r="M17" i="33" s="1"/>
  <c r="J16" i="33"/>
  <c r="M16" i="33" s="1"/>
  <c r="J15" i="33"/>
  <c r="M15" i="33" s="1"/>
  <c r="H8" i="33"/>
  <c r="C8" i="33"/>
  <c r="M5" i="33"/>
  <c r="A5" i="33"/>
  <c r="G75" i="2"/>
  <c r="G75" i="34" s="1"/>
  <c r="G74" i="2"/>
  <c r="G74" i="33" s="1"/>
  <c r="G73" i="2"/>
  <c r="G73" i="37" s="1"/>
  <c r="H73" i="37" s="1"/>
  <c r="G72" i="2"/>
  <c r="G72" i="38" s="1"/>
  <c r="H72" i="38" s="1"/>
  <c r="G68" i="2"/>
  <c r="G68" i="34" s="1"/>
  <c r="G67" i="2"/>
  <c r="G67" i="37" s="1"/>
  <c r="G63" i="2"/>
  <c r="G62" i="2"/>
  <c r="G62" i="36" s="1"/>
  <c r="G57" i="2"/>
  <c r="G57" i="34" s="1"/>
  <c r="G56" i="2"/>
  <c r="G56" i="33" s="1"/>
  <c r="G55" i="2"/>
  <c r="G55" i="33" s="1"/>
  <c r="G54" i="2"/>
  <c r="G54" i="34" s="1"/>
  <c r="G47" i="2"/>
  <c r="G47" i="38" s="1"/>
  <c r="H47" i="38" s="1"/>
  <c r="I47" i="38" s="1"/>
  <c r="G46" i="2"/>
  <c r="G46" i="34" s="1"/>
  <c r="G41" i="2"/>
  <c r="G41" i="33" s="1"/>
  <c r="G40" i="2"/>
  <c r="G39" i="2"/>
  <c r="G39" i="35" s="1"/>
  <c r="G38" i="2"/>
  <c r="G38" i="39" s="1"/>
  <c r="H38" i="39" s="1"/>
  <c r="G31" i="2"/>
  <c r="G30" i="2"/>
  <c r="G25" i="2"/>
  <c r="G25" i="36" s="1"/>
  <c r="H25" i="36" s="1"/>
  <c r="G24" i="2"/>
  <c r="G24" i="35" s="1"/>
  <c r="G23" i="2"/>
  <c r="G23" i="38" s="1"/>
  <c r="G22" i="2"/>
  <c r="G22" i="36" s="1"/>
  <c r="G15" i="2"/>
  <c r="G15" i="33" s="1"/>
  <c r="D74" i="2"/>
  <c r="D73" i="2"/>
  <c r="D72" i="2"/>
  <c r="D72" i="39" s="1"/>
  <c r="E72" i="39" s="1"/>
  <c r="D68" i="2"/>
  <c r="D68" i="39" s="1"/>
  <c r="E68" i="39" s="1"/>
  <c r="D67" i="2"/>
  <c r="D67" i="33" s="1"/>
  <c r="E67" i="33" s="1"/>
  <c r="D66" i="2"/>
  <c r="D66" i="35" s="1"/>
  <c r="E66" i="35" s="1"/>
  <c r="D64" i="2"/>
  <c r="E64" i="2" s="1"/>
  <c r="D63" i="2"/>
  <c r="D62" i="2"/>
  <c r="D62" i="35" s="1"/>
  <c r="E62" i="35" s="1"/>
  <c r="D61" i="2"/>
  <c r="D61" i="39" s="1"/>
  <c r="E61" i="39" s="1"/>
  <c r="D59" i="2"/>
  <c r="D59" i="34" s="1"/>
  <c r="E59" i="34" s="1"/>
  <c r="D58" i="2"/>
  <c r="D58" i="37" s="1"/>
  <c r="E58" i="37" s="1"/>
  <c r="D57" i="2"/>
  <c r="D57" i="36" s="1"/>
  <c r="E57" i="36" s="1"/>
  <c r="D56" i="2"/>
  <c r="D56" i="35" s="1"/>
  <c r="E56" i="35" s="1"/>
  <c r="D54" i="2"/>
  <c r="D54" i="34" s="1"/>
  <c r="E54" i="34" s="1"/>
  <c r="D53" i="2"/>
  <c r="D53" i="38" s="1"/>
  <c r="E53" i="38" s="1"/>
  <c r="D52" i="2"/>
  <c r="D52" i="36" s="1"/>
  <c r="E52" i="36" s="1"/>
  <c r="D51" i="2"/>
  <c r="D51" i="33" s="1"/>
  <c r="E51" i="33" s="1"/>
  <c r="D50" i="2"/>
  <c r="D50" i="33" s="1"/>
  <c r="E50" i="33" s="1"/>
  <c r="D48" i="2"/>
  <c r="D48" i="34" s="1"/>
  <c r="E48" i="34" s="1"/>
  <c r="D47" i="2"/>
  <c r="D47" i="38" s="1"/>
  <c r="E47" i="38" s="1"/>
  <c r="D46" i="2"/>
  <c r="D46" i="35" s="1"/>
  <c r="E46" i="35" s="1"/>
  <c r="D45" i="2"/>
  <c r="D45" i="39" s="1"/>
  <c r="E45" i="39" s="1"/>
  <c r="D43" i="2"/>
  <c r="E43" i="2" s="1"/>
  <c r="D42" i="2"/>
  <c r="D42" i="39" s="1"/>
  <c r="E42" i="39" s="1"/>
  <c r="D41" i="2"/>
  <c r="D41" i="34" s="1"/>
  <c r="E41" i="34" s="1"/>
  <c r="D40" i="2"/>
  <c r="D40" i="39" s="1"/>
  <c r="E40" i="39" s="1"/>
  <c r="D38" i="2"/>
  <c r="D38" i="38" s="1"/>
  <c r="E38" i="38" s="1"/>
  <c r="D37" i="2"/>
  <c r="D37" i="37" s="1"/>
  <c r="E37" i="37" s="1"/>
  <c r="D36" i="2"/>
  <c r="D36" i="34" s="1"/>
  <c r="E36" i="34" s="1"/>
  <c r="D35" i="2"/>
  <c r="D35" i="36" s="1"/>
  <c r="E35" i="36" s="1"/>
  <c r="D34" i="2"/>
  <c r="D34" i="37" s="1"/>
  <c r="E34" i="37" s="1"/>
  <c r="D32" i="2"/>
  <c r="D31" i="2"/>
  <c r="D30" i="2"/>
  <c r="D30" i="36" s="1"/>
  <c r="E30" i="36" s="1"/>
  <c r="D29" i="2"/>
  <c r="D29" i="35" s="1"/>
  <c r="E29" i="35" s="1"/>
  <c r="D27" i="2"/>
  <c r="D27" i="36" s="1"/>
  <c r="E27" i="36" s="1"/>
  <c r="D26" i="2"/>
  <c r="D25" i="2"/>
  <c r="E25" i="2" s="1"/>
  <c r="D24" i="2"/>
  <c r="D24" i="36" s="1"/>
  <c r="E24" i="36" s="1"/>
  <c r="D22" i="2"/>
  <c r="D22" i="36" s="1"/>
  <c r="E22" i="36" s="1"/>
  <c r="D21" i="2"/>
  <c r="D21" i="33" s="1"/>
  <c r="E21" i="33" s="1"/>
  <c r="D20" i="2"/>
  <c r="D20" i="34" s="1"/>
  <c r="E20" i="34" s="1"/>
  <c r="D19" i="2"/>
  <c r="D19" i="36" s="1"/>
  <c r="E19" i="36" s="1"/>
  <c r="D18" i="2"/>
  <c r="D18" i="37" s="1"/>
  <c r="E18" i="37" s="1"/>
  <c r="D16" i="2"/>
  <c r="D16" i="34" s="1"/>
  <c r="E16" i="34" s="1"/>
  <c r="D15" i="2"/>
  <c r="D15" i="33" s="1"/>
  <c r="E15" i="33" s="1"/>
  <c r="F75" i="2"/>
  <c r="F74" i="2"/>
  <c r="F73" i="2"/>
  <c r="F72" i="2"/>
  <c r="F71" i="2"/>
  <c r="F70" i="2"/>
  <c r="F26" i="2"/>
  <c r="F25" i="2"/>
  <c r="F24" i="2"/>
  <c r="F23" i="2"/>
  <c r="F22" i="2"/>
  <c r="F21" i="2"/>
  <c r="F20" i="2"/>
  <c r="F19" i="2"/>
  <c r="F18" i="2"/>
  <c r="F17" i="2"/>
  <c r="F16" i="2"/>
  <c r="F15" i="2"/>
  <c r="M75" i="2"/>
  <c r="M74" i="2"/>
  <c r="M73" i="2"/>
  <c r="M72" i="2"/>
  <c r="M71" i="2"/>
  <c r="J70" i="2"/>
  <c r="M70" i="2" s="1"/>
  <c r="K69" i="2"/>
  <c r="M69" i="2" s="1"/>
  <c r="K68" i="2"/>
  <c r="M68" i="2" s="1"/>
  <c r="K67" i="2"/>
  <c r="M67" i="2" s="1"/>
  <c r="L66" i="2"/>
  <c r="M66" i="2" s="1"/>
  <c r="L65" i="2"/>
  <c r="M65" i="2" s="1"/>
  <c r="L64" i="2"/>
  <c r="M64" i="2" s="1"/>
  <c r="L63" i="2"/>
  <c r="M63" i="2" s="1"/>
  <c r="L62" i="2"/>
  <c r="M62" i="2" s="1"/>
  <c r="L61" i="2"/>
  <c r="M61" i="2" s="1"/>
  <c r="L60" i="2"/>
  <c r="M60" i="2" s="1"/>
  <c r="L59" i="2"/>
  <c r="M59" i="2" s="1"/>
  <c r="L58" i="2"/>
  <c r="M58" i="2" s="1"/>
  <c r="L57" i="2"/>
  <c r="M57" i="2" s="1"/>
  <c r="L56" i="2"/>
  <c r="M56" i="2" s="1"/>
  <c r="L55" i="2"/>
  <c r="M55" i="2" s="1"/>
  <c r="L54" i="2"/>
  <c r="M54" i="2" s="1"/>
  <c r="L53" i="2"/>
  <c r="M53" i="2" s="1"/>
  <c r="L52" i="2"/>
  <c r="M52" i="2" s="1"/>
  <c r="L51" i="2"/>
  <c r="M51" i="2" s="1"/>
  <c r="L50" i="2"/>
  <c r="M50" i="2" s="1"/>
  <c r="L49" i="2"/>
  <c r="M49" i="2" s="1"/>
  <c r="L48" i="2"/>
  <c r="M48" i="2" s="1"/>
  <c r="L47" i="2"/>
  <c r="M47" i="2" s="1"/>
  <c r="L46" i="2"/>
  <c r="M46" i="2" s="1"/>
  <c r="J45" i="2"/>
  <c r="M45" i="2" s="1"/>
  <c r="J44" i="2"/>
  <c r="M44" i="2" s="1"/>
  <c r="K43" i="2"/>
  <c r="M43" i="2" s="1"/>
  <c r="K42" i="2"/>
  <c r="M42" i="2" s="1"/>
  <c r="K41" i="2"/>
  <c r="M41" i="2" s="1"/>
  <c r="K40" i="2"/>
  <c r="M40" i="2" s="1"/>
  <c r="K39" i="2"/>
  <c r="M39" i="2" s="1"/>
  <c r="K38" i="2"/>
  <c r="M38" i="2" s="1"/>
  <c r="K37" i="2"/>
  <c r="M37" i="2" s="1"/>
  <c r="K36" i="2"/>
  <c r="M36" i="2" s="1"/>
  <c r="K35" i="2"/>
  <c r="M35" i="2" s="1"/>
  <c r="M34" i="2"/>
  <c r="K34" i="2"/>
  <c r="K33" i="2"/>
  <c r="M33" i="2" s="1"/>
  <c r="K32" i="2"/>
  <c r="M32" i="2" s="1"/>
  <c r="M31" i="2"/>
  <c r="K30" i="2"/>
  <c r="M30" i="2" s="1"/>
  <c r="K29" i="2"/>
  <c r="M29" i="2" s="1"/>
  <c r="K28" i="2"/>
  <c r="M28" i="2" s="1"/>
  <c r="J27" i="2"/>
  <c r="M27" i="2" s="1"/>
  <c r="J26" i="2"/>
  <c r="M26" i="2" s="1"/>
  <c r="J25" i="2"/>
  <c r="M25" i="2" s="1"/>
  <c r="J24" i="2"/>
  <c r="M24" i="2" s="1"/>
  <c r="J23" i="2"/>
  <c r="M23" i="2" s="1"/>
  <c r="J22" i="2"/>
  <c r="M22" i="2" s="1"/>
  <c r="J21" i="2"/>
  <c r="M21" i="2" s="1"/>
  <c r="J20" i="2"/>
  <c r="M20" i="2" s="1"/>
  <c r="J19" i="2"/>
  <c r="M19" i="2" s="1"/>
  <c r="J18" i="2"/>
  <c r="M18" i="2" s="1"/>
  <c r="J17" i="2"/>
  <c r="M17" i="2" s="1"/>
  <c r="J16" i="2"/>
  <c r="M16" i="2" s="1"/>
  <c r="J15" i="2"/>
  <c r="M15" i="2" s="1"/>
  <c r="O43" i="2"/>
  <c r="O65" i="2"/>
  <c r="O64" i="2"/>
  <c r="O62" i="2"/>
  <c r="O60" i="2"/>
  <c r="O58" i="2"/>
  <c r="O56" i="2"/>
  <c r="O54" i="2"/>
  <c r="O42" i="2"/>
  <c r="O41" i="2"/>
  <c r="O40" i="2"/>
  <c r="O39" i="2"/>
  <c r="O38" i="2"/>
  <c r="O34" i="2"/>
  <c r="O35" i="2"/>
  <c r="H70" i="2" l="1"/>
  <c r="H71" i="2"/>
  <c r="H69" i="2"/>
  <c r="D21" i="37"/>
  <c r="E21" i="37" s="1"/>
  <c r="G101" i="34"/>
  <c r="G101" i="33"/>
  <c r="D54" i="38"/>
  <c r="E54" i="38" s="1"/>
  <c r="G43" i="35"/>
  <c r="H43" i="35" s="1"/>
  <c r="G58" i="35"/>
  <c r="G75" i="38"/>
  <c r="H75" i="38" s="1"/>
  <c r="D53" i="37"/>
  <c r="E53" i="37" s="1"/>
  <c r="D24" i="35"/>
  <c r="E24" i="35" s="1"/>
  <c r="G42" i="36"/>
  <c r="E56" i="2"/>
  <c r="H73" i="2"/>
  <c r="H33" i="39"/>
  <c r="G73" i="34"/>
  <c r="H73" i="34" s="1"/>
  <c r="G41" i="35"/>
  <c r="H41" i="35" s="1"/>
  <c r="G56" i="34"/>
  <c r="H56" i="34" s="1"/>
  <c r="I56" i="34" s="1"/>
  <c r="G41" i="36"/>
  <c r="H41" i="36" s="1"/>
  <c r="D55" i="36"/>
  <c r="E55" i="36" s="1"/>
  <c r="G26" i="38"/>
  <c r="H26" i="38" s="1"/>
  <c r="D38" i="34"/>
  <c r="E38" i="34" s="1"/>
  <c r="G26" i="37"/>
  <c r="H26" i="37" s="1"/>
  <c r="D68" i="34"/>
  <c r="E68" i="34" s="1"/>
  <c r="G72" i="35"/>
  <c r="H72" i="35" s="1"/>
  <c r="D55" i="34"/>
  <c r="E55" i="34" s="1"/>
  <c r="G74" i="38"/>
  <c r="H74" i="38" s="1"/>
  <c r="H59" i="37"/>
  <c r="I59" i="37" s="1"/>
  <c r="G57" i="33"/>
  <c r="H57" i="33" s="1"/>
  <c r="I57" i="33" s="1"/>
  <c r="G43" i="33"/>
  <c r="H43" i="33" s="1"/>
  <c r="G38" i="33"/>
  <c r="H38" i="33" s="1"/>
  <c r="D69" i="33"/>
  <c r="E69" i="33" s="1"/>
  <c r="G20" i="33"/>
  <c r="D39" i="37"/>
  <c r="E39" i="37" s="1"/>
  <c r="H41" i="2"/>
  <c r="D52" i="39"/>
  <c r="E52" i="39" s="1"/>
  <c r="H55" i="2"/>
  <c r="I55" i="2" s="1"/>
  <c r="G38" i="34"/>
  <c r="H38" i="34" s="1"/>
  <c r="D18" i="39"/>
  <c r="E18" i="39" s="1"/>
  <c r="D34" i="33"/>
  <c r="E34" i="33" s="1"/>
  <c r="D17" i="35"/>
  <c r="E17" i="35" s="1"/>
  <c r="H39" i="2"/>
  <c r="H21" i="2"/>
  <c r="H25" i="2"/>
  <c r="D24" i="39"/>
  <c r="E24" i="39" s="1"/>
  <c r="D40" i="33"/>
  <c r="E40" i="33" s="1"/>
  <c r="G20" i="34"/>
  <c r="H20" i="34" s="1"/>
  <c r="D69" i="35"/>
  <c r="E69" i="35" s="1"/>
  <c r="E22" i="2"/>
  <c r="G71" i="34"/>
  <c r="H71" i="34" s="1"/>
  <c r="G69" i="35"/>
  <c r="H69" i="35" s="1"/>
  <c r="D49" i="37"/>
  <c r="E49" i="37" s="1"/>
  <c r="G51" i="34"/>
  <c r="D49" i="33"/>
  <c r="E49" i="33" s="1"/>
  <c r="G71" i="36"/>
  <c r="H71" i="36" s="1"/>
  <c r="D50" i="37"/>
  <c r="E50" i="37" s="1"/>
  <c r="D21" i="38"/>
  <c r="E21" i="38" s="1"/>
  <c r="E24" i="2"/>
  <c r="E40" i="2"/>
  <c r="H72" i="2"/>
  <c r="H26" i="39"/>
  <c r="C76" i="39"/>
  <c r="L76" i="38"/>
  <c r="H42" i="38"/>
  <c r="L76" i="37"/>
  <c r="C76" i="37"/>
  <c r="L76" i="36"/>
  <c r="J76" i="36"/>
  <c r="C76" i="36"/>
  <c r="H22" i="36"/>
  <c r="C76" i="35"/>
  <c r="H24" i="35"/>
  <c r="J76" i="35"/>
  <c r="K76" i="34"/>
  <c r="J76" i="34"/>
  <c r="H51" i="34"/>
  <c r="I51" i="34" s="1"/>
  <c r="C76" i="33"/>
  <c r="G67" i="36"/>
  <c r="H67" i="36" s="1"/>
  <c r="D17" i="37"/>
  <c r="E17" i="37" s="1"/>
  <c r="D15" i="39"/>
  <c r="E15" i="39" s="1"/>
  <c r="H68" i="34"/>
  <c r="D49" i="39"/>
  <c r="E49" i="39" s="1"/>
  <c r="G68" i="36"/>
  <c r="H68" i="36" s="1"/>
  <c r="H40" i="2"/>
  <c r="D38" i="33"/>
  <c r="E38" i="33" s="1"/>
  <c r="D36" i="37"/>
  <c r="E36" i="37" s="1"/>
  <c r="D64" i="37"/>
  <c r="E64" i="37" s="1"/>
  <c r="H36" i="34"/>
  <c r="D67" i="37"/>
  <c r="E67" i="37" s="1"/>
  <c r="H52" i="39"/>
  <c r="I52" i="39" s="1"/>
  <c r="G54" i="35"/>
  <c r="H54" i="35" s="1"/>
  <c r="I54" i="35" s="1"/>
  <c r="G39" i="36"/>
  <c r="H39" i="36" s="1"/>
  <c r="D52" i="33"/>
  <c r="E52" i="33" s="1"/>
  <c r="G75" i="33"/>
  <c r="H75" i="33" s="1"/>
  <c r="G36" i="37"/>
  <c r="H36" i="37" s="1"/>
  <c r="D50" i="38"/>
  <c r="E50" i="38" s="1"/>
  <c r="G36" i="38"/>
  <c r="H36" i="38" s="1"/>
  <c r="D49" i="34"/>
  <c r="E49" i="34" s="1"/>
  <c r="G61" i="34"/>
  <c r="H61" i="34" s="1"/>
  <c r="I61" i="34" s="1"/>
  <c r="H38" i="2"/>
  <c r="H22" i="2"/>
  <c r="H54" i="34"/>
  <c r="I54" i="34" s="1"/>
  <c r="H50" i="38"/>
  <c r="I50" i="38" s="1"/>
  <c r="G59" i="33"/>
  <c r="H59" i="33" s="1"/>
  <c r="I59" i="33" s="1"/>
  <c r="D72" i="38"/>
  <c r="E72" i="38" s="1"/>
  <c r="G21" i="39"/>
  <c r="H21" i="39" s="1"/>
  <c r="D33" i="35"/>
  <c r="E33" i="35" s="1"/>
  <c r="G39" i="37"/>
  <c r="H39" i="37" s="1"/>
  <c r="H24" i="2"/>
  <c r="E65" i="2"/>
  <c r="G58" i="33"/>
  <c r="H58" i="33" s="1"/>
  <c r="I58" i="33" s="1"/>
  <c r="D29" i="34"/>
  <c r="E29" i="34" s="1"/>
  <c r="G59" i="35"/>
  <c r="H59" i="35" s="1"/>
  <c r="I59" i="35" s="1"/>
  <c r="D72" i="35"/>
  <c r="E72" i="35" s="1"/>
  <c r="G57" i="36"/>
  <c r="H57" i="36" s="1"/>
  <c r="I57" i="36" s="1"/>
  <c r="G59" i="38"/>
  <c r="H59" i="38" s="1"/>
  <c r="I59" i="38" s="1"/>
  <c r="G42" i="39"/>
  <c r="H42" i="39" s="1"/>
  <c r="D60" i="35"/>
  <c r="E60" i="35" s="1"/>
  <c r="D60" i="38"/>
  <c r="E60" i="38" s="1"/>
  <c r="G63" i="35"/>
  <c r="H63" i="35" s="1"/>
  <c r="I63" i="35" s="1"/>
  <c r="G63" i="34"/>
  <c r="H63" i="34" s="1"/>
  <c r="I63" i="34" s="1"/>
  <c r="D60" i="33"/>
  <c r="E60" i="33" s="1"/>
  <c r="H39" i="35"/>
  <c r="D28" i="33"/>
  <c r="E28" i="33" s="1"/>
  <c r="G63" i="33"/>
  <c r="H63" i="33" s="1"/>
  <c r="I63" i="33" s="1"/>
  <c r="D29" i="37"/>
  <c r="E29" i="37" s="1"/>
  <c r="D29" i="38"/>
  <c r="E29" i="38" s="1"/>
  <c r="G64" i="39"/>
  <c r="H64" i="39" s="1"/>
  <c r="I64" i="39" s="1"/>
  <c r="D62" i="38"/>
  <c r="E62" i="38" s="1"/>
  <c r="D45" i="36"/>
  <c r="E45" i="36" s="1"/>
  <c r="G66" i="38"/>
  <c r="H66" i="38" s="1"/>
  <c r="I66" i="38" s="1"/>
  <c r="D62" i="33"/>
  <c r="E62" i="33" s="1"/>
  <c r="D47" i="33"/>
  <c r="E47" i="33" s="1"/>
  <c r="D33" i="33"/>
  <c r="E33" i="33" s="1"/>
  <c r="G36" i="33"/>
  <c r="H36" i="33" s="1"/>
  <c r="G51" i="35"/>
  <c r="H51" i="35" s="1"/>
  <c r="I51" i="35" s="1"/>
  <c r="D28" i="38"/>
  <c r="E28" i="38" s="1"/>
  <c r="D28" i="36"/>
  <c r="E28" i="36" s="1"/>
  <c r="G31" i="36"/>
  <c r="H31" i="36" s="1"/>
  <c r="G31" i="35"/>
  <c r="H31" i="35" s="1"/>
  <c r="G31" i="34"/>
  <c r="G31" i="38"/>
  <c r="H31" i="38" s="1"/>
  <c r="G31" i="39"/>
  <c r="H31" i="39" s="1"/>
  <c r="G31" i="37"/>
  <c r="H31" i="37" s="1"/>
  <c r="H34" i="33"/>
  <c r="G48" i="34"/>
  <c r="H48" i="34" s="1"/>
  <c r="I48" i="34" s="1"/>
  <c r="G48" i="35"/>
  <c r="H48" i="35" s="1"/>
  <c r="I48" i="35" s="1"/>
  <c r="G48" i="37"/>
  <c r="H48" i="37" s="1"/>
  <c r="I48" i="37" s="1"/>
  <c r="D62" i="39"/>
  <c r="E62" i="39" s="1"/>
  <c r="D62" i="36"/>
  <c r="E62" i="36" s="1"/>
  <c r="G49" i="35"/>
  <c r="H49" i="35" s="1"/>
  <c r="I49" i="35" s="1"/>
  <c r="G49" i="34"/>
  <c r="H49" i="34" s="1"/>
  <c r="I49" i="34" s="1"/>
  <c r="H35" i="38"/>
  <c r="D31" i="33"/>
  <c r="E31" i="33" s="1"/>
  <c r="D31" i="34"/>
  <c r="E31" i="34" s="1"/>
  <c r="D31" i="35"/>
  <c r="E31" i="35" s="1"/>
  <c r="D31" i="37"/>
  <c r="E31" i="37" s="1"/>
  <c r="E31" i="2"/>
  <c r="D63" i="35"/>
  <c r="E63" i="35" s="1"/>
  <c r="D63" i="37"/>
  <c r="E63" i="37" s="1"/>
  <c r="D63" i="36"/>
  <c r="E63" i="36" s="1"/>
  <c r="D63" i="34"/>
  <c r="E63" i="34" s="1"/>
  <c r="G50" i="34"/>
  <c r="H50" i="34" s="1"/>
  <c r="I50" i="34" s="1"/>
  <c r="G50" i="37"/>
  <c r="H50" i="37" s="1"/>
  <c r="I50" i="37" s="1"/>
  <c r="G50" i="39"/>
  <c r="H50" i="39" s="1"/>
  <c r="I50" i="39" s="1"/>
  <c r="H23" i="38"/>
  <c r="H58" i="39"/>
  <c r="I58" i="39" s="1"/>
  <c r="D75" i="39"/>
  <c r="E75" i="39" s="1"/>
  <c r="D75" i="35"/>
  <c r="E75" i="35" s="1"/>
  <c r="D44" i="33"/>
  <c r="E44" i="33" s="1"/>
  <c r="D44" i="37"/>
  <c r="E44" i="37" s="1"/>
  <c r="D44" i="35"/>
  <c r="E44" i="35" s="1"/>
  <c r="G15" i="34"/>
  <c r="H15" i="34" s="1"/>
  <c r="G15" i="37"/>
  <c r="H15" i="37" s="1"/>
  <c r="G15" i="39"/>
  <c r="H15" i="39" s="1"/>
  <c r="G15" i="35"/>
  <c r="H15" i="35" s="1"/>
  <c r="G15" i="38"/>
  <c r="H15" i="38" s="1"/>
  <c r="G47" i="35"/>
  <c r="H47" i="35" s="1"/>
  <c r="I47" i="35" s="1"/>
  <c r="G47" i="34"/>
  <c r="H47" i="34" s="1"/>
  <c r="I47" i="34" s="1"/>
  <c r="G47" i="39"/>
  <c r="H47" i="39" s="1"/>
  <c r="I47" i="39" s="1"/>
  <c r="G47" i="36"/>
  <c r="H47" i="36" s="1"/>
  <c r="I47" i="36" s="1"/>
  <c r="G47" i="33"/>
  <c r="H47" i="33" s="1"/>
  <c r="I47" i="33" s="1"/>
  <c r="G47" i="37"/>
  <c r="H47" i="37" s="1"/>
  <c r="I47" i="37" s="1"/>
  <c r="D29" i="39"/>
  <c r="E29" i="39" s="1"/>
  <c r="D29" i="36"/>
  <c r="E29" i="36" s="1"/>
  <c r="D45" i="37"/>
  <c r="E45" i="37" s="1"/>
  <c r="D45" i="38"/>
  <c r="E45" i="38" s="1"/>
  <c r="G16" i="38"/>
  <c r="H16" i="38" s="1"/>
  <c r="G16" i="33"/>
  <c r="H16" i="33" s="1"/>
  <c r="G32" i="39"/>
  <c r="H32" i="39" s="1"/>
  <c r="G32" i="37"/>
  <c r="H32" i="37" s="1"/>
  <c r="G32" i="36"/>
  <c r="H32" i="36" s="1"/>
  <c r="G64" i="37"/>
  <c r="H64" i="37" s="1"/>
  <c r="I64" i="37" s="1"/>
  <c r="G64" i="35"/>
  <c r="H64" i="35" s="1"/>
  <c r="I64" i="35" s="1"/>
  <c r="G64" i="38"/>
  <c r="H64" i="38" s="1"/>
  <c r="I64" i="38" s="1"/>
  <c r="G16" i="34"/>
  <c r="H16" i="34" s="1"/>
  <c r="D30" i="35"/>
  <c r="E30" i="35" s="1"/>
  <c r="D30" i="33"/>
  <c r="E30" i="33" s="1"/>
  <c r="D30" i="34"/>
  <c r="E30" i="34" s="1"/>
  <c r="D46" i="36"/>
  <c r="E46" i="36" s="1"/>
  <c r="D46" i="34"/>
  <c r="E46" i="34" s="1"/>
  <c r="G17" i="36"/>
  <c r="H17" i="36" s="1"/>
  <c r="G17" i="34"/>
  <c r="H17" i="34" s="1"/>
  <c r="G33" i="36"/>
  <c r="H33" i="36" s="1"/>
  <c r="G33" i="34"/>
  <c r="H33" i="34" s="1"/>
  <c r="G65" i="38"/>
  <c r="H65" i="38" s="1"/>
  <c r="I65" i="38" s="1"/>
  <c r="G65" i="39"/>
  <c r="H65" i="39" s="1"/>
  <c r="I65" i="39" s="1"/>
  <c r="G65" i="37"/>
  <c r="H65" i="37" s="1"/>
  <c r="I65" i="37" s="1"/>
  <c r="G65" i="36"/>
  <c r="H65" i="36" s="1"/>
  <c r="I65" i="36" s="1"/>
  <c r="D15" i="34"/>
  <c r="E15" i="34" s="1"/>
  <c r="D15" i="37"/>
  <c r="E15" i="37" s="1"/>
  <c r="D47" i="36"/>
  <c r="E47" i="36" s="1"/>
  <c r="D47" i="39"/>
  <c r="E47" i="39" s="1"/>
  <c r="G18" i="34"/>
  <c r="H18" i="34" s="1"/>
  <c r="G18" i="38"/>
  <c r="H18" i="38" s="1"/>
  <c r="G18" i="35"/>
  <c r="H18" i="35" s="1"/>
  <c r="G34" i="35"/>
  <c r="H34" i="35" s="1"/>
  <c r="G34" i="38"/>
  <c r="H34" i="38" s="1"/>
  <c r="G34" i="34"/>
  <c r="H34" i="34" s="1"/>
  <c r="G34" i="37"/>
  <c r="H34" i="37" s="1"/>
  <c r="G17" i="33"/>
  <c r="H17" i="33" s="1"/>
  <c r="D16" i="38"/>
  <c r="E16" i="38" s="1"/>
  <c r="D16" i="35"/>
  <c r="E16" i="35" s="1"/>
  <c r="D16" i="33"/>
  <c r="E16" i="33" s="1"/>
  <c r="D32" i="38"/>
  <c r="E32" i="38" s="1"/>
  <c r="E32" i="2"/>
  <c r="D32" i="33"/>
  <c r="E32" i="33" s="1"/>
  <c r="D32" i="37"/>
  <c r="E32" i="37" s="1"/>
  <c r="D32" i="36"/>
  <c r="E32" i="36" s="1"/>
  <c r="D48" i="38"/>
  <c r="E48" i="38" s="1"/>
  <c r="D48" i="37"/>
  <c r="E48" i="37" s="1"/>
  <c r="D48" i="35"/>
  <c r="E48" i="35" s="1"/>
  <c r="D64" i="38"/>
  <c r="E64" i="38" s="1"/>
  <c r="D64" i="33"/>
  <c r="E64" i="33" s="1"/>
  <c r="G19" i="35"/>
  <c r="H19" i="35" s="1"/>
  <c r="G19" i="37"/>
  <c r="H19" i="37" s="1"/>
  <c r="G19" i="36"/>
  <c r="H19" i="36" s="1"/>
  <c r="G19" i="38"/>
  <c r="H19" i="38" s="1"/>
  <c r="G35" i="35"/>
  <c r="H35" i="35" s="1"/>
  <c r="G35" i="39"/>
  <c r="H35" i="39" s="1"/>
  <c r="G67" i="39"/>
  <c r="H67" i="39" s="1"/>
  <c r="G67" i="34"/>
  <c r="H67" i="34" s="1"/>
  <c r="D61" i="34"/>
  <c r="E61" i="34" s="1"/>
  <c r="D63" i="39"/>
  <c r="E63" i="39" s="1"/>
  <c r="H57" i="34"/>
  <c r="I57" i="34" s="1"/>
  <c r="D17" i="36"/>
  <c r="E17" i="36" s="1"/>
  <c r="D17" i="33"/>
  <c r="E17" i="33" s="1"/>
  <c r="D33" i="39"/>
  <c r="E33" i="39" s="1"/>
  <c r="E33" i="2"/>
  <c r="D65" i="35"/>
  <c r="E65" i="35" s="1"/>
  <c r="D65" i="37"/>
  <c r="E65" i="37" s="1"/>
  <c r="D65" i="36"/>
  <c r="E65" i="36" s="1"/>
  <c r="G52" i="34"/>
  <c r="H52" i="34" s="1"/>
  <c r="I52" i="34" s="1"/>
  <c r="G52" i="33"/>
  <c r="H52" i="33" s="1"/>
  <c r="I52" i="33" s="1"/>
  <c r="G52" i="37"/>
  <c r="H52" i="37" s="1"/>
  <c r="I52" i="37" s="1"/>
  <c r="G52" i="36"/>
  <c r="H52" i="36" s="1"/>
  <c r="I52" i="36" s="1"/>
  <c r="D45" i="34"/>
  <c r="E45" i="34" s="1"/>
  <c r="G18" i="39"/>
  <c r="H18" i="39" s="1"/>
  <c r="G65" i="33"/>
  <c r="H65" i="33" s="1"/>
  <c r="I65" i="33" s="1"/>
  <c r="G65" i="34"/>
  <c r="H65" i="34" s="1"/>
  <c r="I65" i="34" s="1"/>
  <c r="G64" i="33"/>
  <c r="H64" i="33" s="1"/>
  <c r="I64" i="33" s="1"/>
  <c r="G35" i="34"/>
  <c r="H35" i="34" s="1"/>
  <c r="D61" i="35"/>
  <c r="E61" i="35" s="1"/>
  <c r="D60" i="39"/>
  <c r="E60" i="39" s="1"/>
  <c r="H67" i="37"/>
  <c r="D18" i="38"/>
  <c r="E18" i="38" s="1"/>
  <c r="D52" i="35"/>
  <c r="E52" i="35" s="1"/>
  <c r="G55" i="36"/>
  <c r="H55" i="36" s="1"/>
  <c r="I55" i="36" s="1"/>
  <c r="H31" i="34"/>
  <c r="G55" i="37"/>
  <c r="H55" i="37" s="1"/>
  <c r="I55" i="37" s="1"/>
  <c r="G59" i="36"/>
  <c r="H59" i="36" s="1"/>
  <c r="I59" i="36" s="1"/>
  <c r="G41" i="37"/>
  <c r="H41" i="37" s="1"/>
  <c r="D70" i="37"/>
  <c r="E70" i="37" s="1"/>
  <c r="D34" i="38"/>
  <c r="E34" i="38" s="1"/>
  <c r="G70" i="34"/>
  <c r="H70" i="34" s="1"/>
  <c r="G54" i="39"/>
  <c r="H54" i="39" s="1"/>
  <c r="I54" i="39" s="1"/>
  <c r="G42" i="33"/>
  <c r="H42" i="33" s="1"/>
  <c r="H56" i="2"/>
  <c r="I56" i="2" s="1"/>
  <c r="E39" i="2"/>
  <c r="H60" i="35"/>
  <c r="I60" i="35" s="1"/>
  <c r="G40" i="33"/>
  <c r="H40" i="33" s="1"/>
  <c r="G40" i="34"/>
  <c r="H40" i="34" s="1"/>
  <c r="D39" i="35"/>
  <c r="E39" i="35" s="1"/>
  <c r="G40" i="36"/>
  <c r="H40" i="36" s="1"/>
  <c r="G70" i="37"/>
  <c r="H70" i="37" s="1"/>
  <c r="H49" i="39"/>
  <c r="I49" i="39" s="1"/>
  <c r="H27" i="36"/>
  <c r="H74" i="33"/>
  <c r="D40" i="36"/>
  <c r="E40" i="36" s="1"/>
  <c r="D56" i="33"/>
  <c r="E56" i="33" s="1"/>
  <c r="G39" i="33"/>
  <c r="H39" i="33" s="1"/>
  <c r="D35" i="38"/>
  <c r="E35" i="38" s="1"/>
  <c r="G61" i="38"/>
  <c r="H61" i="38" s="1"/>
  <c r="I61" i="38" s="1"/>
  <c r="H32" i="33"/>
  <c r="H20" i="39"/>
  <c r="H15" i="33"/>
  <c r="D73" i="39"/>
  <c r="E73" i="39" s="1"/>
  <c r="D73" i="38"/>
  <c r="E73" i="38" s="1"/>
  <c r="D73" i="35"/>
  <c r="E73" i="35" s="1"/>
  <c r="D73" i="36"/>
  <c r="E73" i="36" s="1"/>
  <c r="D41" i="33"/>
  <c r="E41" i="33" s="1"/>
  <c r="D41" i="37"/>
  <c r="E41" i="37" s="1"/>
  <c r="G60" i="37"/>
  <c r="H60" i="37" s="1"/>
  <c r="I60" i="37" s="1"/>
  <c r="D26" i="36"/>
  <c r="E26" i="36" s="1"/>
  <c r="D26" i="34"/>
  <c r="E26" i="34" s="1"/>
  <c r="D26" i="35"/>
  <c r="E26" i="35" s="1"/>
  <c r="D26" i="33"/>
  <c r="E26" i="33" s="1"/>
  <c r="H29" i="2"/>
  <c r="G29" i="35"/>
  <c r="H29" i="35" s="1"/>
  <c r="G29" i="39"/>
  <c r="H29" i="39" s="1"/>
  <c r="G29" i="34"/>
  <c r="H29" i="34" s="1"/>
  <c r="D73" i="33"/>
  <c r="E73" i="33" s="1"/>
  <c r="H62" i="36"/>
  <c r="I62" i="36" s="1"/>
  <c r="G30" i="37"/>
  <c r="H30" i="37" s="1"/>
  <c r="G30" i="33"/>
  <c r="H30" i="33" s="1"/>
  <c r="G30" i="35"/>
  <c r="H30" i="35" s="1"/>
  <c r="G30" i="38"/>
  <c r="H30" i="38" s="1"/>
  <c r="G30" i="36"/>
  <c r="H30" i="36" s="1"/>
  <c r="D75" i="36"/>
  <c r="E75" i="36" s="1"/>
  <c r="D73" i="37"/>
  <c r="E73" i="37" s="1"/>
  <c r="D58" i="39"/>
  <c r="E58" i="39" s="1"/>
  <c r="D58" i="33"/>
  <c r="E58" i="33" s="1"/>
  <c r="D26" i="37"/>
  <c r="E26" i="37" s="1"/>
  <c r="D42" i="38"/>
  <c r="E42" i="38" s="1"/>
  <c r="H53" i="2"/>
  <c r="I53" i="2" s="1"/>
  <c r="G53" i="34"/>
  <c r="H53" i="34" s="1"/>
  <c r="I53" i="34" s="1"/>
  <c r="G53" i="33"/>
  <c r="H53" i="33" s="1"/>
  <c r="I53" i="33" s="1"/>
  <c r="G53" i="37"/>
  <c r="H53" i="37" s="1"/>
  <c r="I53" i="37" s="1"/>
  <c r="G53" i="39"/>
  <c r="H53" i="39" s="1"/>
  <c r="I53" i="39" s="1"/>
  <c r="G53" i="38"/>
  <c r="H53" i="38" s="1"/>
  <c r="I53" i="38" s="1"/>
  <c r="G53" i="36"/>
  <c r="H53" i="36" s="1"/>
  <c r="I53" i="36" s="1"/>
  <c r="G30" i="34"/>
  <c r="H30" i="34" s="1"/>
  <c r="G21" i="35"/>
  <c r="H21" i="35" s="1"/>
  <c r="D58" i="36"/>
  <c r="E58" i="36" s="1"/>
  <c r="E19" i="2"/>
  <c r="D19" i="39"/>
  <c r="E19" i="39" s="1"/>
  <c r="D19" i="38"/>
  <c r="E19" i="38" s="1"/>
  <c r="D19" i="37"/>
  <c r="E19" i="37" s="1"/>
  <c r="D19" i="33"/>
  <c r="E19" i="33" s="1"/>
  <c r="D67" i="34"/>
  <c r="E67" i="34" s="1"/>
  <c r="D67" i="35"/>
  <c r="E67" i="35" s="1"/>
  <c r="D67" i="36"/>
  <c r="E67" i="36" s="1"/>
  <c r="D67" i="39"/>
  <c r="E67" i="39" s="1"/>
  <c r="D67" i="38"/>
  <c r="E67" i="38" s="1"/>
  <c r="G38" i="35"/>
  <c r="H38" i="35" s="1"/>
  <c r="G38" i="37"/>
  <c r="H38" i="37" s="1"/>
  <c r="G38" i="38"/>
  <c r="H38" i="38" s="1"/>
  <c r="G29" i="33"/>
  <c r="H29" i="33" s="1"/>
  <c r="G21" i="34"/>
  <c r="H21" i="34" s="1"/>
  <c r="D57" i="37"/>
  <c r="E57" i="37" s="1"/>
  <c r="G60" i="38"/>
  <c r="H60" i="38" s="1"/>
  <c r="I60" i="38" s="1"/>
  <c r="D68" i="36"/>
  <c r="E68" i="36" s="1"/>
  <c r="D68" i="33"/>
  <c r="E68" i="33" s="1"/>
  <c r="D68" i="38"/>
  <c r="E68" i="38" s="1"/>
  <c r="D68" i="37"/>
  <c r="E68" i="37" s="1"/>
  <c r="D68" i="35"/>
  <c r="E68" i="35" s="1"/>
  <c r="G28" i="33"/>
  <c r="H28" i="33" s="1"/>
  <c r="G40" i="35"/>
  <c r="H40" i="35" s="1"/>
  <c r="G40" i="37"/>
  <c r="H40" i="37" s="1"/>
  <c r="D75" i="33"/>
  <c r="E75" i="33" s="1"/>
  <c r="G29" i="36"/>
  <c r="H29" i="36" s="1"/>
  <c r="G70" i="36"/>
  <c r="D40" i="38"/>
  <c r="E40" i="38" s="1"/>
  <c r="D58" i="38"/>
  <c r="E58" i="38" s="1"/>
  <c r="E41" i="2"/>
  <c r="D41" i="36"/>
  <c r="E41" i="36" s="1"/>
  <c r="D41" i="38"/>
  <c r="E41" i="38" s="1"/>
  <c r="D41" i="39"/>
  <c r="E41" i="39" s="1"/>
  <c r="G44" i="36"/>
  <c r="H44" i="36" s="1"/>
  <c r="G44" i="34"/>
  <c r="H44" i="34" s="1"/>
  <c r="G44" i="37"/>
  <c r="H44" i="37" s="1"/>
  <c r="G44" i="35"/>
  <c r="H44" i="35" s="1"/>
  <c r="G44" i="33"/>
  <c r="H44" i="33" s="1"/>
  <c r="D74" i="38"/>
  <c r="E74" i="38" s="1"/>
  <c r="D74" i="33"/>
  <c r="E74" i="33" s="1"/>
  <c r="D74" i="37"/>
  <c r="E74" i="37" s="1"/>
  <c r="D74" i="39"/>
  <c r="E74" i="39" s="1"/>
  <c r="E74" i="2"/>
  <c r="D74" i="35"/>
  <c r="E74" i="35" s="1"/>
  <c r="D43" i="36"/>
  <c r="E43" i="36" s="1"/>
  <c r="D43" i="38"/>
  <c r="E43" i="38" s="1"/>
  <c r="D43" i="37"/>
  <c r="E43" i="37" s="1"/>
  <c r="D43" i="39"/>
  <c r="E43" i="39" s="1"/>
  <c r="D43" i="33"/>
  <c r="E43" i="33" s="1"/>
  <c r="D59" i="39"/>
  <c r="E59" i="39" s="1"/>
  <c r="D59" i="35"/>
  <c r="E59" i="35" s="1"/>
  <c r="E59" i="2"/>
  <c r="D59" i="33"/>
  <c r="E59" i="33" s="1"/>
  <c r="G46" i="36"/>
  <c r="H46" i="36" s="1"/>
  <c r="I46" i="36" s="1"/>
  <c r="G46" i="39"/>
  <c r="H46" i="39" s="1"/>
  <c r="I46" i="39" s="1"/>
  <c r="G46" i="33"/>
  <c r="H46" i="33" s="1"/>
  <c r="I46" i="33" s="1"/>
  <c r="G46" i="38"/>
  <c r="H46" i="38" s="1"/>
  <c r="I46" i="38" s="1"/>
  <c r="H56" i="33"/>
  <c r="I56" i="33" s="1"/>
  <c r="D27" i="33"/>
  <c r="E27" i="33" s="1"/>
  <c r="G44" i="38"/>
  <c r="H44" i="38" s="1"/>
  <c r="D59" i="37"/>
  <c r="E59" i="37" s="1"/>
  <c r="D75" i="38"/>
  <c r="E75" i="38" s="1"/>
  <c r="E18" i="2"/>
  <c r="D18" i="33"/>
  <c r="E18" i="33" s="1"/>
  <c r="D18" i="36"/>
  <c r="E18" i="36" s="1"/>
  <c r="D18" i="35"/>
  <c r="E18" i="35" s="1"/>
  <c r="D18" i="34"/>
  <c r="E18" i="34" s="1"/>
  <c r="D34" i="36"/>
  <c r="E34" i="36" s="1"/>
  <c r="E34" i="2"/>
  <c r="D34" i="39"/>
  <c r="E34" i="39" s="1"/>
  <c r="D66" i="36"/>
  <c r="E66" i="36" s="1"/>
  <c r="D66" i="39"/>
  <c r="E66" i="39" s="1"/>
  <c r="D66" i="34"/>
  <c r="E66" i="34" s="1"/>
  <c r="D66" i="37"/>
  <c r="E66" i="37" s="1"/>
  <c r="D66" i="33"/>
  <c r="E66" i="33" s="1"/>
  <c r="G37" i="38"/>
  <c r="H37" i="38" s="1"/>
  <c r="G37" i="34"/>
  <c r="H37" i="34" s="1"/>
  <c r="G37" i="37"/>
  <c r="H37" i="37" s="1"/>
  <c r="G37" i="33"/>
  <c r="H37" i="33" s="1"/>
  <c r="G37" i="39"/>
  <c r="H37" i="39" s="1"/>
  <c r="G37" i="35"/>
  <c r="H37" i="35" s="1"/>
  <c r="G37" i="36"/>
  <c r="H37" i="36" s="1"/>
  <c r="G69" i="37"/>
  <c r="H69" i="37" s="1"/>
  <c r="G69" i="33"/>
  <c r="H69" i="33" s="1"/>
  <c r="G69" i="39"/>
  <c r="H69" i="39" s="1"/>
  <c r="G69" i="36"/>
  <c r="H69" i="36" s="1"/>
  <c r="G69" i="34"/>
  <c r="H69" i="34" s="1"/>
  <c r="E26" i="2"/>
  <c r="D35" i="34"/>
  <c r="E35" i="34" s="1"/>
  <c r="D35" i="37"/>
  <c r="E35" i="37" s="1"/>
  <c r="D35" i="33"/>
  <c r="E35" i="33" s="1"/>
  <c r="D35" i="35"/>
  <c r="E35" i="35" s="1"/>
  <c r="E35" i="2"/>
  <c r="G22" i="34"/>
  <c r="H22" i="34" s="1"/>
  <c r="G22" i="33"/>
  <c r="H22" i="33" s="1"/>
  <c r="G22" i="37"/>
  <c r="H22" i="37" s="1"/>
  <c r="G22" i="39"/>
  <c r="H22" i="39" s="1"/>
  <c r="H54" i="2"/>
  <c r="I54" i="2" s="1"/>
  <c r="G54" i="36"/>
  <c r="H54" i="36" s="1"/>
  <c r="I54" i="36" s="1"/>
  <c r="G54" i="37"/>
  <c r="H54" i="37" s="1"/>
  <c r="I54" i="37" s="1"/>
  <c r="G54" i="38"/>
  <c r="H54" i="38" s="1"/>
  <c r="I54" i="38" s="1"/>
  <c r="E52" i="2"/>
  <c r="D52" i="34"/>
  <c r="E52" i="34" s="1"/>
  <c r="D52" i="37"/>
  <c r="E52" i="37" s="1"/>
  <c r="D52" i="38"/>
  <c r="E52" i="38" s="1"/>
  <c r="G23" i="39"/>
  <c r="H23" i="39" s="1"/>
  <c r="G23" i="37"/>
  <c r="H23" i="37" s="1"/>
  <c r="G23" i="36"/>
  <c r="H23" i="36" s="1"/>
  <c r="H23" i="2"/>
  <c r="G23" i="34"/>
  <c r="H23" i="34" s="1"/>
  <c r="G23" i="35"/>
  <c r="H23" i="35" s="1"/>
  <c r="G23" i="33"/>
  <c r="H23" i="33" s="1"/>
  <c r="G71" i="35"/>
  <c r="H71" i="35" s="1"/>
  <c r="G71" i="37"/>
  <c r="H71" i="37" s="1"/>
  <c r="G71" i="39"/>
  <c r="H71" i="39" s="1"/>
  <c r="G71" i="33"/>
  <c r="H71" i="33" s="1"/>
  <c r="G38" i="36"/>
  <c r="H38" i="36" s="1"/>
  <c r="E66" i="2"/>
  <c r="D37" i="38"/>
  <c r="E37" i="38" s="1"/>
  <c r="D37" i="34"/>
  <c r="E37" i="34" s="1"/>
  <c r="D37" i="39"/>
  <c r="E37" i="39" s="1"/>
  <c r="D37" i="36"/>
  <c r="E37" i="36" s="1"/>
  <c r="D37" i="33"/>
  <c r="E37" i="33" s="1"/>
  <c r="E37" i="2"/>
  <c r="G24" i="34"/>
  <c r="H24" i="34" s="1"/>
  <c r="G24" i="39"/>
  <c r="H24" i="39" s="1"/>
  <c r="G24" i="33"/>
  <c r="H24" i="33" s="1"/>
  <c r="G24" i="38"/>
  <c r="H24" i="38" s="1"/>
  <c r="G24" i="37"/>
  <c r="H24" i="37" s="1"/>
  <c r="G56" i="38"/>
  <c r="H56" i="38" s="1"/>
  <c r="I56" i="38" s="1"/>
  <c r="G56" i="36"/>
  <c r="H56" i="36" s="1"/>
  <c r="I56" i="36" s="1"/>
  <c r="G56" i="37"/>
  <c r="H56" i="37" s="1"/>
  <c r="I56" i="37" s="1"/>
  <c r="G56" i="39"/>
  <c r="H56" i="39" s="1"/>
  <c r="I56" i="39" s="1"/>
  <c r="D22" i="34"/>
  <c r="E22" i="34" s="1"/>
  <c r="D22" i="39"/>
  <c r="E22" i="39" s="1"/>
  <c r="D22" i="37"/>
  <c r="E22" i="37" s="1"/>
  <c r="D22" i="38"/>
  <c r="E22" i="38" s="1"/>
  <c r="E54" i="2"/>
  <c r="D54" i="36"/>
  <c r="E54" i="36" s="1"/>
  <c r="D54" i="39"/>
  <c r="E54" i="39" s="1"/>
  <c r="D54" i="37"/>
  <c r="E54" i="37" s="1"/>
  <c r="D54" i="33"/>
  <c r="E54" i="33" s="1"/>
  <c r="G25" i="34"/>
  <c r="H25" i="34" s="1"/>
  <c r="G25" i="39"/>
  <c r="H25" i="39" s="1"/>
  <c r="G25" i="37"/>
  <c r="H25" i="37" s="1"/>
  <c r="G25" i="35"/>
  <c r="H25" i="35" s="1"/>
  <c r="G25" i="38"/>
  <c r="H25" i="38" s="1"/>
  <c r="G25" i="33"/>
  <c r="H25" i="33" s="1"/>
  <c r="G57" i="39"/>
  <c r="H57" i="39" s="1"/>
  <c r="I57" i="39" s="1"/>
  <c r="G57" i="35"/>
  <c r="H57" i="35" s="1"/>
  <c r="I57" i="35" s="1"/>
  <c r="H57" i="2"/>
  <c r="I57" i="2" s="1"/>
  <c r="G57" i="38"/>
  <c r="H57" i="38" s="1"/>
  <c r="I57" i="38" s="1"/>
  <c r="G73" i="39"/>
  <c r="H73" i="39" s="1"/>
  <c r="G73" i="36"/>
  <c r="H73" i="36" s="1"/>
  <c r="G73" i="35"/>
  <c r="H73" i="35" s="1"/>
  <c r="G73" i="38"/>
  <c r="H73" i="38" s="1"/>
  <c r="G73" i="33"/>
  <c r="H73" i="33" s="1"/>
  <c r="D19" i="34"/>
  <c r="E19" i="34" s="1"/>
  <c r="H28" i="34"/>
  <c r="D22" i="35"/>
  <c r="E22" i="35" s="1"/>
  <c r="G28" i="35"/>
  <c r="D37" i="35"/>
  <c r="E37" i="35" s="1"/>
  <c r="G43" i="36"/>
  <c r="H43" i="36" s="1"/>
  <c r="G57" i="37"/>
  <c r="H57" i="37" s="1"/>
  <c r="I57" i="37" s="1"/>
  <c r="D42" i="37"/>
  <c r="E42" i="37" s="1"/>
  <c r="D42" i="34"/>
  <c r="E42" i="34" s="1"/>
  <c r="D42" i="33"/>
  <c r="E42" i="33" s="1"/>
  <c r="D42" i="35"/>
  <c r="E42" i="35" s="1"/>
  <c r="D42" i="36"/>
  <c r="E42" i="36" s="1"/>
  <c r="G45" i="36"/>
  <c r="H45" i="36" s="1"/>
  <c r="G45" i="38"/>
  <c r="H45" i="38" s="1"/>
  <c r="G45" i="33"/>
  <c r="H45" i="33" s="1"/>
  <c r="G45" i="37"/>
  <c r="H45" i="37" s="1"/>
  <c r="G45" i="39"/>
  <c r="H45" i="39" s="1"/>
  <c r="D26" i="38"/>
  <c r="E26" i="38" s="1"/>
  <c r="G60" i="39"/>
  <c r="H60" i="39" s="1"/>
  <c r="I60" i="39" s="1"/>
  <c r="G62" i="37"/>
  <c r="H62" i="37" s="1"/>
  <c r="I62" i="37" s="1"/>
  <c r="G62" i="34"/>
  <c r="H62" i="34" s="1"/>
  <c r="I62" i="34" s="1"/>
  <c r="G62" i="35"/>
  <c r="H62" i="35" s="1"/>
  <c r="I62" i="35" s="1"/>
  <c r="G62" i="38"/>
  <c r="H62" i="38" s="1"/>
  <c r="I62" i="38" s="1"/>
  <c r="G62" i="39"/>
  <c r="H62" i="39" s="1"/>
  <c r="I62" i="39" s="1"/>
  <c r="E73" i="2"/>
  <c r="E42" i="2"/>
  <c r="G46" i="35"/>
  <c r="H46" i="35" s="1"/>
  <c r="I46" i="35" s="1"/>
  <c r="G60" i="36"/>
  <c r="H60" i="36" s="1"/>
  <c r="I60" i="36" s="1"/>
  <c r="G44" i="39"/>
  <c r="H44" i="39" s="1"/>
  <c r="D43" i="34"/>
  <c r="E43" i="34" s="1"/>
  <c r="E50" i="2"/>
  <c r="D50" i="35"/>
  <c r="E50" i="35" s="1"/>
  <c r="D50" i="39"/>
  <c r="E50" i="39" s="1"/>
  <c r="D50" i="36"/>
  <c r="E50" i="36" s="1"/>
  <c r="G70" i="38"/>
  <c r="H70" i="38" s="1"/>
  <c r="G70" i="39"/>
  <c r="H70" i="39" s="1"/>
  <c r="G70" i="33"/>
  <c r="H70" i="33" s="1"/>
  <c r="G29" i="37"/>
  <c r="H29" i="37" s="1"/>
  <c r="E20" i="2"/>
  <c r="D20" i="38"/>
  <c r="E20" i="38" s="1"/>
  <c r="D20" i="35"/>
  <c r="E20" i="35" s="1"/>
  <c r="D20" i="37"/>
  <c r="E20" i="37" s="1"/>
  <c r="D20" i="36"/>
  <c r="E20" i="36" s="1"/>
  <c r="D20" i="39"/>
  <c r="E20" i="39" s="1"/>
  <c r="D20" i="33"/>
  <c r="E20" i="33" s="1"/>
  <c r="G55" i="39"/>
  <c r="H55" i="39" s="1"/>
  <c r="I55" i="39" s="1"/>
  <c r="G55" i="34"/>
  <c r="G55" i="35"/>
  <c r="H55" i="35" s="1"/>
  <c r="I55" i="35" s="1"/>
  <c r="H55" i="34"/>
  <c r="I55" i="34" s="1"/>
  <c r="D34" i="35"/>
  <c r="E34" i="35" s="1"/>
  <c r="D66" i="38"/>
  <c r="E66" i="38" s="1"/>
  <c r="E21" i="2"/>
  <c r="D21" i="39"/>
  <c r="E21" i="39" s="1"/>
  <c r="D21" i="36"/>
  <c r="E21" i="36" s="1"/>
  <c r="D21" i="35"/>
  <c r="E21" i="35" s="1"/>
  <c r="D21" i="34"/>
  <c r="E21" i="34" s="1"/>
  <c r="D69" i="37"/>
  <c r="E69" i="37" s="1"/>
  <c r="D69" i="34"/>
  <c r="E69" i="34" s="1"/>
  <c r="D69" i="39"/>
  <c r="E69" i="39" s="1"/>
  <c r="D69" i="36"/>
  <c r="E69" i="36" s="1"/>
  <c r="G72" i="36"/>
  <c r="G72" i="37"/>
  <c r="H72" i="37" s="1"/>
  <c r="G72" i="33"/>
  <c r="H72" i="33" s="1"/>
  <c r="G72" i="34"/>
  <c r="H72" i="34" s="1"/>
  <c r="E67" i="2"/>
  <c r="E70" i="2"/>
  <c r="D70" i="35"/>
  <c r="E70" i="35" s="1"/>
  <c r="D70" i="36"/>
  <c r="E70" i="36" s="1"/>
  <c r="D70" i="38"/>
  <c r="E70" i="38" s="1"/>
  <c r="D70" i="39"/>
  <c r="E70" i="39" s="1"/>
  <c r="D23" i="33"/>
  <c r="E23" i="33" s="1"/>
  <c r="D23" i="39"/>
  <c r="E23" i="39" s="1"/>
  <c r="D23" i="38"/>
  <c r="E23" i="38" s="1"/>
  <c r="D23" i="35"/>
  <c r="E23" i="35" s="1"/>
  <c r="E23" i="2"/>
  <c r="D23" i="34"/>
  <c r="E23" i="34" s="1"/>
  <c r="D23" i="36"/>
  <c r="E23" i="36" s="1"/>
  <c r="D55" i="35"/>
  <c r="E55" i="35" s="1"/>
  <c r="D55" i="33"/>
  <c r="E55" i="33" s="1"/>
  <c r="D55" i="39"/>
  <c r="E55" i="39" s="1"/>
  <c r="D55" i="38"/>
  <c r="E55" i="38" s="1"/>
  <c r="E71" i="2"/>
  <c r="D71" i="39"/>
  <c r="E71" i="39" s="1"/>
  <c r="D71" i="36"/>
  <c r="E71" i="36" s="1"/>
  <c r="D71" i="33"/>
  <c r="E71" i="33" s="1"/>
  <c r="D71" i="35"/>
  <c r="E71" i="35" s="1"/>
  <c r="D71" i="38"/>
  <c r="E71" i="38" s="1"/>
  <c r="D71" i="37"/>
  <c r="E71" i="37" s="1"/>
  <c r="G26" i="36"/>
  <c r="H26" i="36" s="1"/>
  <c r="G26" i="34"/>
  <c r="H26" i="34" s="1"/>
  <c r="G26" i="35"/>
  <c r="H26" i="35" s="1"/>
  <c r="G26" i="33"/>
  <c r="H26" i="33" s="1"/>
  <c r="G42" i="34"/>
  <c r="H42" i="34" s="1"/>
  <c r="G42" i="37"/>
  <c r="H42" i="37" s="1"/>
  <c r="G42" i="35"/>
  <c r="H42" i="35" s="1"/>
  <c r="G58" i="38"/>
  <c r="H58" i="38" s="1"/>
  <c r="I58" i="38" s="1"/>
  <c r="G58" i="34"/>
  <c r="H58" i="34" s="1"/>
  <c r="I58" i="34" s="1"/>
  <c r="G58" i="37"/>
  <c r="H58" i="37" s="1"/>
  <c r="I58" i="37" s="1"/>
  <c r="G58" i="36"/>
  <c r="H58" i="36" s="1"/>
  <c r="I58" i="36" s="1"/>
  <c r="G74" i="37"/>
  <c r="H74" i="37" s="1"/>
  <c r="G74" i="34"/>
  <c r="H74" i="34" s="1"/>
  <c r="G74" i="39"/>
  <c r="H74" i="39" s="1"/>
  <c r="G74" i="36"/>
  <c r="H74" i="36" s="1"/>
  <c r="G74" i="35"/>
  <c r="H74" i="35" s="1"/>
  <c r="H74" i="2"/>
  <c r="G54" i="33"/>
  <c r="H54" i="33" s="1"/>
  <c r="I54" i="33" s="1"/>
  <c r="D34" i="34"/>
  <c r="E34" i="34" s="1"/>
  <c r="D19" i="35"/>
  <c r="E19" i="35" s="1"/>
  <c r="G56" i="35"/>
  <c r="H56" i="35" s="1"/>
  <c r="I56" i="35" s="1"/>
  <c r="D74" i="36"/>
  <c r="E74" i="36" s="1"/>
  <c r="D55" i="37"/>
  <c r="E55" i="37" s="1"/>
  <c r="G22" i="38"/>
  <c r="H22" i="38" s="1"/>
  <c r="G40" i="38"/>
  <c r="H40" i="38" s="1"/>
  <c r="G55" i="38"/>
  <c r="H55" i="38" s="1"/>
  <c r="I55" i="38" s="1"/>
  <c r="G40" i="39"/>
  <c r="H40" i="39" s="1"/>
  <c r="D25" i="38"/>
  <c r="E25" i="38" s="1"/>
  <c r="D25" i="35"/>
  <c r="E25" i="35" s="1"/>
  <c r="D25" i="34"/>
  <c r="E25" i="34" s="1"/>
  <c r="D25" i="37"/>
  <c r="E25" i="37" s="1"/>
  <c r="D25" i="33"/>
  <c r="E25" i="33" s="1"/>
  <c r="D25" i="39"/>
  <c r="E25" i="39" s="1"/>
  <c r="D57" i="35"/>
  <c r="E57" i="35" s="1"/>
  <c r="D57" i="39"/>
  <c r="E57" i="39" s="1"/>
  <c r="D57" i="34"/>
  <c r="E57" i="34" s="1"/>
  <c r="D57" i="33"/>
  <c r="E57" i="33" s="1"/>
  <c r="E57" i="2"/>
  <c r="D57" i="38"/>
  <c r="E57" i="38" s="1"/>
  <c r="G28" i="37"/>
  <c r="H28" i="37" s="1"/>
  <c r="G28" i="36"/>
  <c r="H28" i="36" s="1"/>
  <c r="G28" i="38"/>
  <c r="H28" i="38" s="1"/>
  <c r="G28" i="39"/>
  <c r="H28" i="39" s="1"/>
  <c r="D58" i="34"/>
  <c r="E58" i="34" s="1"/>
  <c r="D58" i="35"/>
  <c r="E58" i="35" s="1"/>
  <c r="E58" i="2"/>
  <c r="G61" i="36"/>
  <c r="H61" i="36" s="1"/>
  <c r="I61" i="36" s="1"/>
  <c r="G61" i="39"/>
  <c r="H61" i="39" s="1"/>
  <c r="I61" i="39" s="1"/>
  <c r="G61" i="35"/>
  <c r="H61" i="35" s="1"/>
  <c r="I61" i="35" s="1"/>
  <c r="G61" i="37"/>
  <c r="H61" i="37" s="1"/>
  <c r="I61" i="37" s="1"/>
  <c r="G29" i="38"/>
  <c r="H29" i="38" s="1"/>
  <c r="D27" i="35"/>
  <c r="E27" i="35" s="1"/>
  <c r="D27" i="38"/>
  <c r="E27" i="38" s="1"/>
  <c r="D27" i="34"/>
  <c r="E27" i="34" s="1"/>
  <c r="D27" i="39"/>
  <c r="E27" i="39" s="1"/>
  <c r="D27" i="37"/>
  <c r="E27" i="37" s="1"/>
  <c r="E75" i="2"/>
  <c r="D75" i="34"/>
  <c r="E75" i="34" s="1"/>
  <c r="D75" i="37"/>
  <c r="E75" i="37" s="1"/>
  <c r="H61" i="33"/>
  <c r="I61" i="33" s="1"/>
  <c r="D43" i="35"/>
  <c r="E43" i="35" s="1"/>
  <c r="D59" i="38"/>
  <c r="E59" i="38" s="1"/>
  <c r="D25" i="36"/>
  <c r="E25" i="36" s="1"/>
  <c r="D74" i="34"/>
  <c r="E74" i="34" s="1"/>
  <c r="D41" i="35"/>
  <c r="E41" i="35" s="1"/>
  <c r="G30" i="39"/>
  <c r="H30" i="39" s="1"/>
  <c r="G62" i="33"/>
  <c r="H62" i="33" s="1"/>
  <c r="I62" i="33" s="1"/>
  <c r="G60" i="33"/>
  <c r="H60" i="33" s="1"/>
  <c r="I60" i="33" s="1"/>
  <c r="H66" i="35"/>
  <c r="I66" i="35" s="1"/>
  <c r="G21" i="33"/>
  <c r="H21" i="33" s="1"/>
  <c r="G21" i="37"/>
  <c r="H21" i="37" s="1"/>
  <c r="G21" i="38"/>
  <c r="H21" i="38" s="1"/>
  <c r="G60" i="34"/>
  <c r="H60" i="34" s="1"/>
  <c r="I60" i="34" s="1"/>
  <c r="E51" i="2"/>
  <c r="D51" i="34"/>
  <c r="E51" i="34" s="1"/>
  <c r="D51" i="38"/>
  <c r="E51" i="38" s="1"/>
  <c r="D51" i="36"/>
  <c r="E51" i="36" s="1"/>
  <c r="D51" i="39"/>
  <c r="E51" i="39" s="1"/>
  <c r="D51" i="37"/>
  <c r="E51" i="37" s="1"/>
  <c r="E27" i="2"/>
  <c r="D36" i="38"/>
  <c r="E36" i="38" s="1"/>
  <c r="D36" i="35"/>
  <c r="E36" i="35" s="1"/>
  <c r="D36" i="36"/>
  <c r="E36" i="36" s="1"/>
  <c r="E36" i="2"/>
  <c r="D36" i="39"/>
  <c r="E36" i="39" s="1"/>
  <c r="D36" i="33"/>
  <c r="E36" i="33" s="1"/>
  <c r="G39" i="39"/>
  <c r="H39" i="39" s="1"/>
  <c r="G39" i="38"/>
  <c r="H39" i="38" s="1"/>
  <c r="G39" i="34"/>
  <c r="H39" i="34" s="1"/>
  <c r="G53" i="35"/>
  <c r="H53" i="35" s="1"/>
  <c r="I53" i="35" s="1"/>
  <c r="H69" i="38"/>
  <c r="E53" i="2"/>
  <c r="D53" i="39"/>
  <c r="E53" i="39" s="1"/>
  <c r="D53" i="35"/>
  <c r="E53" i="35" s="1"/>
  <c r="D53" i="36"/>
  <c r="E53" i="36" s="1"/>
  <c r="D53" i="34"/>
  <c r="E53" i="34" s="1"/>
  <c r="D53" i="33"/>
  <c r="E53" i="33" s="1"/>
  <c r="D38" i="36"/>
  <c r="E38" i="36" s="1"/>
  <c r="D38" i="37"/>
  <c r="E38" i="37" s="1"/>
  <c r="E38" i="2"/>
  <c r="D38" i="35"/>
  <c r="E38" i="35" s="1"/>
  <c r="G41" i="34"/>
  <c r="H41" i="34" s="1"/>
  <c r="G41" i="39"/>
  <c r="H41" i="39" s="1"/>
  <c r="G41" i="38"/>
  <c r="H41" i="38" s="1"/>
  <c r="E68" i="2"/>
  <c r="D39" i="33"/>
  <c r="E39" i="33" s="1"/>
  <c r="D39" i="36"/>
  <c r="E39" i="36" s="1"/>
  <c r="D39" i="39"/>
  <c r="E39" i="39" s="1"/>
  <c r="D39" i="38"/>
  <c r="E39" i="38" s="1"/>
  <c r="H37" i="2"/>
  <c r="E69" i="2"/>
  <c r="D24" i="33"/>
  <c r="E24" i="33" s="1"/>
  <c r="D24" i="34"/>
  <c r="E24" i="34" s="1"/>
  <c r="D24" i="38"/>
  <c r="E24" i="38" s="1"/>
  <c r="D24" i="37"/>
  <c r="E24" i="37" s="1"/>
  <c r="D40" i="37"/>
  <c r="E40" i="37" s="1"/>
  <c r="D40" i="34"/>
  <c r="E40" i="34" s="1"/>
  <c r="D40" i="35"/>
  <c r="E40" i="35" s="1"/>
  <c r="D56" i="38"/>
  <c r="E56" i="38" s="1"/>
  <c r="D56" i="36"/>
  <c r="E56" i="36" s="1"/>
  <c r="D56" i="39"/>
  <c r="E56" i="39" s="1"/>
  <c r="D56" i="37"/>
  <c r="E56" i="37" s="1"/>
  <c r="D56" i="34"/>
  <c r="E56" i="34" s="1"/>
  <c r="E72" i="2"/>
  <c r="D72" i="37"/>
  <c r="E72" i="37" s="1"/>
  <c r="D72" i="36"/>
  <c r="E72" i="36" s="1"/>
  <c r="D72" i="34"/>
  <c r="E72" i="34" s="1"/>
  <c r="D72" i="33"/>
  <c r="E72" i="33" s="1"/>
  <c r="G27" i="35"/>
  <c r="H27" i="35" s="1"/>
  <c r="G27" i="34"/>
  <c r="H27" i="34" s="1"/>
  <c r="G27" i="39"/>
  <c r="H27" i="39" s="1"/>
  <c r="G27" i="37"/>
  <c r="H27" i="37" s="1"/>
  <c r="G27" i="38"/>
  <c r="H27" i="38" s="1"/>
  <c r="G27" i="33"/>
  <c r="H27" i="33" s="1"/>
  <c r="G43" i="34"/>
  <c r="H43" i="34" s="1"/>
  <c r="G43" i="38"/>
  <c r="H43" i="38" s="1"/>
  <c r="G43" i="39"/>
  <c r="H43" i="39" s="1"/>
  <c r="G59" i="39"/>
  <c r="H59" i="39" s="1"/>
  <c r="I59" i="39" s="1"/>
  <c r="G59" i="34"/>
  <c r="H59" i="34" s="1"/>
  <c r="I59" i="34" s="1"/>
  <c r="G75" i="39"/>
  <c r="H75" i="39" s="1"/>
  <c r="H75" i="2"/>
  <c r="G75" i="35"/>
  <c r="H75" i="35" s="1"/>
  <c r="G75" i="36"/>
  <c r="H75" i="36" s="1"/>
  <c r="G75" i="37"/>
  <c r="H75" i="37" s="1"/>
  <c r="D22" i="33"/>
  <c r="E22" i="33" s="1"/>
  <c r="D50" i="34"/>
  <c r="E50" i="34" s="1"/>
  <c r="D70" i="34"/>
  <c r="E70" i="34" s="1"/>
  <c r="D73" i="34"/>
  <c r="E73" i="34" s="1"/>
  <c r="G22" i="35"/>
  <c r="H22" i="35" s="1"/>
  <c r="G45" i="35"/>
  <c r="H45" i="35" s="1"/>
  <c r="D51" i="35"/>
  <c r="E51" i="35" s="1"/>
  <c r="D54" i="35"/>
  <c r="E54" i="35" s="1"/>
  <c r="G24" i="36"/>
  <c r="H24" i="36" s="1"/>
  <c r="D59" i="36"/>
  <c r="E59" i="36" s="1"/>
  <c r="G46" i="37"/>
  <c r="H46" i="37" s="1"/>
  <c r="I46" i="37" s="1"/>
  <c r="D26" i="39"/>
  <c r="E26" i="39" s="1"/>
  <c r="D35" i="39"/>
  <c r="E35" i="39" s="1"/>
  <c r="D38" i="39"/>
  <c r="E38" i="39" s="1"/>
  <c r="G72" i="39"/>
  <c r="H72" i="39" s="1"/>
  <c r="F76" i="37"/>
  <c r="E17" i="2"/>
  <c r="D17" i="34"/>
  <c r="E17" i="34" s="1"/>
  <c r="D33" i="36"/>
  <c r="E33" i="36" s="1"/>
  <c r="D33" i="37"/>
  <c r="E33" i="37" s="1"/>
  <c r="E49" i="2"/>
  <c r="D49" i="36"/>
  <c r="E49" i="36" s="1"/>
  <c r="G20" i="37"/>
  <c r="H20" i="37" s="1"/>
  <c r="G20" i="35"/>
  <c r="H20" i="35" s="1"/>
  <c r="G20" i="38"/>
  <c r="H20" i="38" s="1"/>
  <c r="G36" i="35"/>
  <c r="H36" i="35" s="1"/>
  <c r="G36" i="36"/>
  <c r="H36" i="36" s="1"/>
  <c r="H68" i="2"/>
  <c r="G68" i="39"/>
  <c r="H68" i="39" s="1"/>
  <c r="G68" i="35"/>
  <c r="H68" i="35" s="1"/>
  <c r="G68" i="38"/>
  <c r="H68" i="38" s="1"/>
  <c r="G68" i="37"/>
  <c r="H68" i="37" s="1"/>
  <c r="G68" i="33"/>
  <c r="H68" i="33" s="1"/>
  <c r="D65" i="33"/>
  <c r="E65" i="33" s="1"/>
  <c r="H45" i="34"/>
  <c r="H75" i="34"/>
  <c r="H58" i="35"/>
  <c r="I58" i="35" s="1"/>
  <c r="H70" i="36"/>
  <c r="H43" i="37"/>
  <c r="D17" i="39"/>
  <c r="E17" i="39" s="1"/>
  <c r="H51" i="39"/>
  <c r="I51" i="39" s="1"/>
  <c r="D65" i="39"/>
  <c r="E65" i="39" s="1"/>
  <c r="D49" i="38"/>
  <c r="E49" i="38" s="1"/>
  <c r="E30" i="2"/>
  <c r="D30" i="38"/>
  <c r="E30" i="38" s="1"/>
  <c r="D30" i="39"/>
  <c r="E30" i="39" s="1"/>
  <c r="D30" i="37"/>
  <c r="E30" i="37" s="1"/>
  <c r="G52" i="35"/>
  <c r="H52" i="35" s="1"/>
  <c r="I52" i="35" s="1"/>
  <c r="G34" i="36"/>
  <c r="H34" i="36" s="1"/>
  <c r="G67" i="38"/>
  <c r="H67" i="38" s="1"/>
  <c r="D31" i="39"/>
  <c r="E31" i="39" s="1"/>
  <c r="H72" i="36"/>
  <c r="D33" i="38"/>
  <c r="E33" i="38" s="1"/>
  <c r="H43" i="2"/>
  <c r="E46" i="2"/>
  <c r="D46" i="38"/>
  <c r="E46" i="38" s="1"/>
  <c r="D46" i="37"/>
  <c r="E46" i="37" s="1"/>
  <c r="D46" i="33"/>
  <c r="E46" i="33" s="1"/>
  <c r="D46" i="39"/>
  <c r="E46" i="39" s="1"/>
  <c r="G17" i="38"/>
  <c r="H17" i="38" s="1"/>
  <c r="G17" i="35"/>
  <c r="H17" i="35" s="1"/>
  <c r="G17" i="37"/>
  <c r="H17" i="37" s="1"/>
  <c r="G33" i="35"/>
  <c r="H33" i="35" s="1"/>
  <c r="G33" i="38"/>
  <c r="H33" i="38" s="1"/>
  <c r="G33" i="33"/>
  <c r="H33" i="33" s="1"/>
  <c r="G49" i="36"/>
  <c r="H49" i="36" s="1"/>
  <c r="I49" i="36" s="1"/>
  <c r="G49" i="33"/>
  <c r="H49" i="33" s="1"/>
  <c r="I49" i="33" s="1"/>
  <c r="G49" i="37"/>
  <c r="H49" i="37" s="1"/>
  <c r="I49" i="37" s="1"/>
  <c r="E47" i="2"/>
  <c r="D47" i="37"/>
  <c r="E47" i="37" s="1"/>
  <c r="D47" i="34"/>
  <c r="E47" i="34" s="1"/>
  <c r="G18" i="36"/>
  <c r="H18" i="36" s="1"/>
  <c r="G18" i="37"/>
  <c r="H18" i="37" s="1"/>
  <c r="G50" i="35"/>
  <c r="H50" i="35" s="1"/>
  <c r="I50" i="35" s="1"/>
  <c r="G50" i="33"/>
  <c r="H50" i="33" s="1"/>
  <c r="I50" i="33" s="1"/>
  <c r="D47" i="35"/>
  <c r="E47" i="35" s="1"/>
  <c r="G65" i="35"/>
  <c r="H65" i="35" s="1"/>
  <c r="I65" i="35" s="1"/>
  <c r="G20" i="36"/>
  <c r="H20" i="36" s="1"/>
  <c r="G50" i="36"/>
  <c r="H50" i="36" s="1"/>
  <c r="I50" i="36" s="1"/>
  <c r="G49" i="38"/>
  <c r="H49" i="38" s="1"/>
  <c r="I49" i="38" s="1"/>
  <c r="D65" i="38"/>
  <c r="E65" i="38" s="1"/>
  <c r="E62" i="2"/>
  <c r="D62" i="37"/>
  <c r="E62" i="37" s="1"/>
  <c r="D62" i="34"/>
  <c r="E62" i="34" s="1"/>
  <c r="E15" i="2"/>
  <c r="D15" i="38"/>
  <c r="E15" i="38" s="1"/>
  <c r="D15" i="35"/>
  <c r="E15" i="35" s="1"/>
  <c r="D31" i="36"/>
  <c r="E31" i="36" s="1"/>
  <c r="D31" i="38"/>
  <c r="E31" i="38" s="1"/>
  <c r="E63" i="2"/>
  <c r="D63" i="33"/>
  <c r="E63" i="33" s="1"/>
  <c r="D63" i="38"/>
  <c r="E63" i="38" s="1"/>
  <c r="G66" i="39"/>
  <c r="H66" i="39" s="1"/>
  <c r="I66" i="39" s="1"/>
  <c r="G66" i="37"/>
  <c r="H66" i="37" s="1"/>
  <c r="I66" i="37" s="1"/>
  <c r="G66" i="33"/>
  <c r="H66" i="33" s="1"/>
  <c r="I66" i="33" s="1"/>
  <c r="G66" i="34"/>
  <c r="H66" i="34" s="1"/>
  <c r="I66" i="34" s="1"/>
  <c r="G66" i="36"/>
  <c r="H66" i="36" s="1"/>
  <c r="I66" i="36" s="1"/>
  <c r="E16" i="2"/>
  <c r="D16" i="39"/>
  <c r="E16" i="39" s="1"/>
  <c r="D16" i="37"/>
  <c r="E16" i="37" s="1"/>
  <c r="D16" i="36"/>
  <c r="E16" i="36" s="1"/>
  <c r="D32" i="35"/>
  <c r="E32" i="35" s="1"/>
  <c r="D32" i="39"/>
  <c r="E32" i="39" s="1"/>
  <c r="D32" i="34"/>
  <c r="E32" i="34" s="1"/>
  <c r="E48" i="2"/>
  <c r="D48" i="36"/>
  <c r="E48" i="36" s="1"/>
  <c r="D48" i="39"/>
  <c r="E48" i="39" s="1"/>
  <c r="D64" i="39"/>
  <c r="E64" i="39" s="1"/>
  <c r="D64" i="35"/>
  <c r="E64" i="35" s="1"/>
  <c r="D64" i="36"/>
  <c r="E64" i="36" s="1"/>
  <c r="D64" i="34"/>
  <c r="E64" i="34" s="1"/>
  <c r="G19" i="33"/>
  <c r="H19" i="33" s="1"/>
  <c r="G19" i="39"/>
  <c r="H19" i="39" s="1"/>
  <c r="G19" i="34"/>
  <c r="H19" i="34" s="1"/>
  <c r="G35" i="37"/>
  <c r="H35" i="37" s="1"/>
  <c r="G35" i="33"/>
  <c r="H35" i="33" s="1"/>
  <c r="G35" i="36"/>
  <c r="H35" i="36" s="1"/>
  <c r="G51" i="33"/>
  <c r="H51" i="33" s="1"/>
  <c r="I51" i="33" s="1"/>
  <c r="G51" i="38"/>
  <c r="H51" i="38" s="1"/>
  <c r="I51" i="38" s="1"/>
  <c r="G51" i="36"/>
  <c r="H51" i="36" s="1"/>
  <c r="I51" i="36" s="1"/>
  <c r="H67" i="2"/>
  <c r="G67" i="33"/>
  <c r="H67" i="33" s="1"/>
  <c r="G67" i="35"/>
  <c r="H67" i="35" s="1"/>
  <c r="D48" i="33"/>
  <c r="E48" i="33" s="1"/>
  <c r="D15" i="36"/>
  <c r="E15" i="36" s="1"/>
  <c r="G33" i="37"/>
  <c r="H33" i="37" s="1"/>
  <c r="G51" i="37"/>
  <c r="H51" i="37" s="1"/>
  <c r="I51" i="37" s="1"/>
  <c r="G52" i="38"/>
  <c r="H52" i="38" s="1"/>
  <c r="I52" i="38" s="1"/>
  <c r="G34" i="39"/>
  <c r="H34" i="39" s="1"/>
  <c r="G36" i="39"/>
  <c r="H36" i="39" s="1"/>
  <c r="G15" i="36"/>
  <c r="H15" i="36" s="1"/>
  <c r="G48" i="38"/>
  <c r="H48" i="38" s="1"/>
  <c r="I48" i="38" s="1"/>
  <c r="E28" i="2"/>
  <c r="D28" i="39"/>
  <c r="E28" i="39" s="1"/>
  <c r="D28" i="37"/>
  <c r="E28" i="37" s="1"/>
  <c r="E44" i="2"/>
  <c r="D44" i="38"/>
  <c r="E44" i="38" s="1"/>
  <c r="D44" i="36"/>
  <c r="E44" i="36" s="1"/>
  <c r="E60" i="2"/>
  <c r="D60" i="37"/>
  <c r="E60" i="37" s="1"/>
  <c r="D60" i="34"/>
  <c r="E60" i="34" s="1"/>
  <c r="G63" i="39"/>
  <c r="H63" i="39" s="1"/>
  <c r="I63" i="39" s="1"/>
  <c r="G63" i="36"/>
  <c r="H63" i="36" s="1"/>
  <c r="I63" i="36" s="1"/>
  <c r="G31" i="33"/>
  <c r="H31" i="33" s="1"/>
  <c r="G64" i="34"/>
  <c r="H64" i="34" s="1"/>
  <c r="I64" i="34" s="1"/>
  <c r="D28" i="35"/>
  <c r="E28" i="35" s="1"/>
  <c r="D61" i="37"/>
  <c r="E61" i="37" s="1"/>
  <c r="G63" i="37"/>
  <c r="H63" i="37" s="1"/>
  <c r="I63" i="37" s="1"/>
  <c r="G63" i="38"/>
  <c r="H63" i="38" s="1"/>
  <c r="I63" i="38" s="1"/>
  <c r="G48" i="39"/>
  <c r="H48" i="39" s="1"/>
  <c r="I48" i="39" s="1"/>
  <c r="H26" i="2"/>
  <c r="H42" i="2"/>
  <c r="E29" i="2"/>
  <c r="D29" i="33"/>
  <c r="E29" i="33" s="1"/>
  <c r="E45" i="2"/>
  <c r="D45" i="33"/>
  <c r="E45" i="33" s="1"/>
  <c r="D45" i="35"/>
  <c r="E45" i="35" s="1"/>
  <c r="E61" i="2"/>
  <c r="D61" i="36"/>
  <c r="E61" i="36" s="1"/>
  <c r="D61" i="33"/>
  <c r="E61" i="33" s="1"/>
  <c r="G16" i="39"/>
  <c r="H16" i="39" s="1"/>
  <c r="G16" i="37"/>
  <c r="H16" i="37" s="1"/>
  <c r="G16" i="36"/>
  <c r="H16" i="36" s="1"/>
  <c r="G32" i="35"/>
  <c r="H32" i="35" s="1"/>
  <c r="G32" i="38"/>
  <c r="H32" i="38" s="1"/>
  <c r="G32" i="34"/>
  <c r="H32" i="34" s="1"/>
  <c r="H41" i="33"/>
  <c r="G48" i="33"/>
  <c r="H48" i="33" s="1"/>
  <c r="I48" i="33" s="1"/>
  <c r="H28" i="35"/>
  <c r="H70" i="35"/>
  <c r="G48" i="36"/>
  <c r="H48" i="36" s="1"/>
  <c r="I48" i="36" s="1"/>
  <c r="H64" i="36"/>
  <c r="I64" i="36" s="1"/>
  <c r="D61" i="38"/>
  <c r="E61" i="38" s="1"/>
  <c r="H71" i="38"/>
  <c r="D44" i="39"/>
  <c r="E44" i="39" s="1"/>
  <c r="F76" i="34"/>
  <c r="H46" i="34"/>
  <c r="I46" i="34" s="1"/>
  <c r="H21" i="36"/>
  <c r="H42" i="36"/>
  <c r="M29" i="39"/>
  <c r="M76" i="39" s="1"/>
  <c r="F76" i="39"/>
  <c r="J76" i="39"/>
  <c r="L76" i="39"/>
  <c r="J76" i="38"/>
  <c r="K76" i="38"/>
  <c r="M29" i="38"/>
  <c r="F76" i="38"/>
  <c r="M46" i="38"/>
  <c r="M15" i="38"/>
  <c r="M76" i="38" s="1"/>
  <c r="K76" i="37"/>
  <c r="M29" i="37"/>
  <c r="M46" i="37"/>
  <c r="J76" i="37"/>
  <c r="F76" i="36"/>
  <c r="M48" i="36"/>
  <c r="M15" i="36"/>
  <c r="K76" i="36"/>
  <c r="M46" i="35"/>
  <c r="M15" i="35"/>
  <c r="K76" i="35"/>
  <c r="F76" i="35"/>
  <c r="M29" i="34"/>
  <c r="M15" i="34"/>
  <c r="M76" i="34" s="1"/>
  <c r="L76" i="34"/>
  <c r="H55" i="33"/>
  <c r="I55" i="33" s="1"/>
  <c r="L76" i="33"/>
  <c r="K76" i="33"/>
  <c r="H20" i="33"/>
  <c r="H18" i="33"/>
  <c r="F76" i="33"/>
  <c r="J76" i="33"/>
  <c r="M30" i="33"/>
  <c r="M47" i="33"/>
  <c r="H28" i="2"/>
  <c r="H44" i="2"/>
  <c r="H60" i="2"/>
  <c r="I60" i="2" s="1"/>
  <c r="H45" i="2"/>
  <c r="H30" i="2"/>
  <c r="H46" i="2"/>
  <c r="I46" i="2" s="1"/>
  <c r="H15" i="2"/>
  <c r="H31" i="2"/>
  <c r="H47" i="2"/>
  <c r="I47" i="2" s="1"/>
  <c r="H63" i="2"/>
  <c r="I63" i="2" s="1"/>
  <c r="H16" i="2"/>
  <c r="H32" i="2"/>
  <c r="H48" i="2"/>
  <c r="I48" i="2" s="1"/>
  <c r="H64" i="2"/>
  <c r="I64" i="2" s="1"/>
  <c r="H17" i="2"/>
  <c r="H33" i="2"/>
  <c r="H49" i="2"/>
  <c r="I49" i="2" s="1"/>
  <c r="H65" i="2"/>
  <c r="I65" i="2" s="1"/>
  <c r="H18" i="2"/>
  <c r="H34" i="2"/>
  <c r="H50" i="2"/>
  <c r="I50" i="2" s="1"/>
  <c r="H66" i="2"/>
  <c r="I66" i="2" s="1"/>
  <c r="H19" i="2"/>
  <c r="H35" i="2"/>
  <c r="H51" i="2"/>
  <c r="I51" i="2" s="1"/>
  <c r="H20" i="2"/>
  <c r="H36" i="2"/>
  <c r="H52" i="2"/>
  <c r="I52" i="2" s="1"/>
  <c r="H61" i="2"/>
  <c r="I61" i="2" s="1"/>
  <c r="H27" i="2"/>
  <c r="H62" i="2"/>
  <c r="I62" i="2" s="1"/>
  <c r="H58" i="2"/>
  <c r="I58" i="2" s="1"/>
  <c r="H59" i="2"/>
  <c r="I59" i="2" s="1"/>
  <c r="O9" i="34" l="1"/>
  <c r="G107" i="34"/>
  <c r="C107" i="34"/>
  <c r="M76" i="37"/>
  <c r="M76" i="36"/>
  <c r="M76" i="35"/>
  <c r="I76" i="35"/>
  <c r="B83" i="35" s="1"/>
  <c r="E76" i="33"/>
  <c r="E76" i="34"/>
  <c r="B81" i="34" s="1"/>
  <c r="E76" i="37"/>
  <c r="B81" i="37" s="1"/>
  <c r="E76" i="39"/>
  <c r="B81" i="39" s="1"/>
  <c r="E76" i="36"/>
  <c r="I76" i="39"/>
  <c r="B83" i="39" s="1"/>
  <c r="H76" i="35"/>
  <c r="I76" i="37"/>
  <c r="B83" i="37" s="1"/>
  <c r="I76" i="36"/>
  <c r="B83" i="36" s="1"/>
  <c r="I76" i="38"/>
  <c r="B83" i="38" s="1"/>
  <c r="I76" i="34"/>
  <c r="B83" i="34" s="1"/>
  <c r="H76" i="39"/>
  <c r="E76" i="35"/>
  <c r="B81" i="35" s="1"/>
  <c r="H76" i="37"/>
  <c r="H76" i="38"/>
  <c r="E76" i="38"/>
  <c r="B81" i="38" s="1"/>
  <c r="H76" i="34"/>
  <c r="I76" i="33"/>
  <c r="B83" i="33" s="1"/>
  <c r="M9" i="39"/>
  <c r="L78" i="39"/>
  <c r="M9" i="38"/>
  <c r="L78" i="38"/>
  <c r="H76" i="36"/>
  <c r="M9" i="36"/>
  <c r="L78" i="36"/>
  <c r="M9" i="34"/>
  <c r="L78" i="34"/>
  <c r="H76" i="33"/>
  <c r="M76" i="33"/>
  <c r="L78" i="33" s="1"/>
  <c r="C8" i="2"/>
  <c r="M9" i="33" l="1"/>
  <c r="O9" i="33"/>
  <c r="G107" i="33"/>
  <c r="C107" i="33"/>
  <c r="B82" i="33"/>
  <c r="B84" i="33" s="1"/>
  <c r="E91" i="33" s="1"/>
  <c r="E89" i="33" s="1"/>
  <c r="E90" i="33" s="1"/>
  <c r="C37" i="1"/>
  <c r="B82" i="39"/>
  <c r="B84" i="39" s="1"/>
  <c r="B34" i="1"/>
  <c r="B81" i="36"/>
  <c r="C33" i="1"/>
  <c r="B82" i="35"/>
  <c r="B84" i="35" s="1"/>
  <c r="B82" i="38"/>
  <c r="B84" i="38" s="1"/>
  <c r="B82" i="36"/>
  <c r="B84" i="36" s="1"/>
  <c r="B82" i="34"/>
  <c r="B84" i="34" s="1"/>
  <c r="B31" i="1"/>
  <c r="B81" i="33"/>
  <c r="B82" i="37"/>
  <c r="B84" i="37" s="1"/>
  <c r="O8" i="37" s="1"/>
  <c r="B37" i="1"/>
  <c r="L78" i="37"/>
  <c r="M9" i="37"/>
  <c r="L78" i="35"/>
  <c r="M9" i="35"/>
  <c r="B32" i="1"/>
  <c r="B35" i="1"/>
  <c r="C32" i="1"/>
  <c r="B36" i="1"/>
  <c r="O8" i="38"/>
  <c r="C36" i="1"/>
  <c r="C31" i="1"/>
  <c r="C35" i="1"/>
  <c r="C34" i="1"/>
  <c r="B33" i="1"/>
  <c r="H8" i="2"/>
  <c r="J97" i="33" l="1"/>
  <c r="J95" i="33" s="1"/>
  <c r="J96" i="33" s="1"/>
  <c r="I91" i="33"/>
  <c r="I89" i="33" s="1"/>
  <c r="I90" i="33" s="1"/>
  <c r="G97" i="33"/>
  <c r="C106" i="33"/>
  <c r="F91" i="33"/>
  <c r="F89" i="33" s="1"/>
  <c r="F90" i="33" s="1"/>
  <c r="D97" i="33"/>
  <c r="G106" i="33"/>
  <c r="J91" i="33"/>
  <c r="J89" i="33" s="1"/>
  <c r="J90" i="33" s="1"/>
  <c r="F97" i="33"/>
  <c r="F95" i="33" s="1"/>
  <c r="F96" i="33" s="1"/>
  <c r="C97" i="33"/>
  <c r="C95" i="33" s="1"/>
  <c r="C96" i="33" s="1"/>
  <c r="H91" i="33"/>
  <c r="H89" i="33" s="1"/>
  <c r="H90" i="33" s="1"/>
  <c r="H97" i="33"/>
  <c r="H95" i="33" s="1"/>
  <c r="H96" i="33" s="1"/>
  <c r="E97" i="33"/>
  <c r="E95" i="33" s="1"/>
  <c r="E96" i="33" s="1"/>
  <c r="B91" i="33"/>
  <c r="B89" i="33" s="1"/>
  <c r="B90" i="33" s="1"/>
  <c r="D91" i="33"/>
  <c r="C91" i="33"/>
  <c r="C89" i="33" s="1"/>
  <c r="C90" i="33" s="1"/>
  <c r="G91" i="33"/>
  <c r="B97" i="33"/>
  <c r="B95" i="33" s="1"/>
  <c r="B96" i="33" s="1"/>
  <c r="I97" i="33"/>
  <c r="I95" i="33" s="1"/>
  <c r="I96" i="33" s="1"/>
  <c r="D91" i="34"/>
  <c r="G106" i="34"/>
  <c r="C91" i="34"/>
  <c r="C89" i="34" s="1"/>
  <c r="C90" i="34" s="1"/>
  <c r="D97" i="34"/>
  <c r="G97" i="34"/>
  <c r="B91" i="34"/>
  <c r="B89" i="34" s="1"/>
  <c r="B90" i="34" s="1"/>
  <c r="J97" i="34"/>
  <c r="J95" i="34" s="1"/>
  <c r="J96" i="34" s="1"/>
  <c r="I97" i="34"/>
  <c r="I95" i="34" s="1"/>
  <c r="I96" i="34" s="1"/>
  <c r="J91" i="34"/>
  <c r="J89" i="34" s="1"/>
  <c r="J90" i="34" s="1"/>
  <c r="E97" i="34"/>
  <c r="E95" i="34" s="1"/>
  <c r="E96" i="34" s="1"/>
  <c r="H97" i="34"/>
  <c r="H95" i="34" s="1"/>
  <c r="H96" i="34" s="1"/>
  <c r="E91" i="34"/>
  <c r="E89" i="34" s="1"/>
  <c r="E90" i="34" s="1"/>
  <c r="C97" i="34"/>
  <c r="C95" i="34" s="1"/>
  <c r="C96" i="34" s="1"/>
  <c r="F97" i="34"/>
  <c r="F95" i="34" s="1"/>
  <c r="F96" i="34" s="1"/>
  <c r="H91" i="34"/>
  <c r="H89" i="34" s="1"/>
  <c r="H90" i="34" s="1"/>
  <c r="B97" i="34"/>
  <c r="B95" i="34" s="1"/>
  <c r="B96" i="34" s="1"/>
  <c r="C106" i="34"/>
  <c r="I91" i="34"/>
  <c r="I89" i="34" s="1"/>
  <c r="I90" i="34" s="1"/>
  <c r="G91" i="34"/>
  <c r="F91" i="34"/>
  <c r="F89" i="34" s="1"/>
  <c r="F90" i="34" s="1"/>
  <c r="O8" i="34"/>
  <c r="E97" i="35"/>
  <c r="E95" i="35" s="1"/>
  <c r="E96" i="35" s="1"/>
  <c r="J97" i="35"/>
  <c r="J95" i="35" s="1"/>
  <c r="J96" i="35" s="1"/>
  <c r="J91" i="35"/>
  <c r="J89" i="35" s="1"/>
  <c r="J90" i="35" s="1"/>
  <c r="D97" i="35"/>
  <c r="H97" i="35"/>
  <c r="H95" i="35" s="1"/>
  <c r="H96" i="35" s="1"/>
  <c r="G91" i="35"/>
  <c r="F91" i="35"/>
  <c r="F89" i="35" s="1"/>
  <c r="F90" i="35" s="1"/>
  <c r="G97" i="35"/>
  <c r="I97" i="35"/>
  <c r="I95" i="35" s="1"/>
  <c r="I96" i="35" s="1"/>
  <c r="F97" i="35"/>
  <c r="F95" i="35" s="1"/>
  <c r="F96" i="35" s="1"/>
  <c r="G106" i="35"/>
  <c r="C97" i="35"/>
  <c r="C95" i="35" s="1"/>
  <c r="C96" i="35" s="1"/>
  <c r="H91" i="35"/>
  <c r="H89" i="35" s="1"/>
  <c r="H90" i="35" s="1"/>
  <c r="C106" i="35"/>
  <c r="B97" i="35"/>
  <c r="B95" i="35" s="1"/>
  <c r="B96" i="35" s="1"/>
  <c r="I91" i="35"/>
  <c r="I89" i="35" s="1"/>
  <c r="I90" i="35" s="1"/>
  <c r="E91" i="35"/>
  <c r="E89" i="35" s="1"/>
  <c r="E90" i="35" s="1"/>
  <c r="B91" i="35"/>
  <c r="B89" i="35" s="1"/>
  <c r="B90" i="35" s="1"/>
  <c r="D91" i="35"/>
  <c r="C91" i="35"/>
  <c r="C89" i="35" s="1"/>
  <c r="C90" i="35" s="1"/>
  <c r="E97" i="39"/>
  <c r="E95" i="39" s="1"/>
  <c r="E96" i="39" s="1"/>
  <c r="H97" i="39"/>
  <c r="H95" i="39" s="1"/>
  <c r="H96" i="39" s="1"/>
  <c r="J91" i="39"/>
  <c r="J89" i="39" s="1"/>
  <c r="J90" i="39" s="1"/>
  <c r="I97" i="39"/>
  <c r="I95" i="39" s="1"/>
  <c r="I96" i="39" s="1"/>
  <c r="H91" i="39"/>
  <c r="H89" i="39" s="1"/>
  <c r="H90" i="39" s="1"/>
  <c r="G97" i="39"/>
  <c r="C97" i="39"/>
  <c r="C95" i="39" s="1"/>
  <c r="C96" i="39" s="1"/>
  <c r="G91" i="39"/>
  <c r="F97" i="39"/>
  <c r="F95" i="39" s="1"/>
  <c r="F96" i="39" s="1"/>
  <c r="D97" i="39"/>
  <c r="E91" i="39"/>
  <c r="E89" i="39" s="1"/>
  <c r="E90" i="39" s="1"/>
  <c r="C106" i="39"/>
  <c r="I91" i="39"/>
  <c r="I89" i="39" s="1"/>
  <c r="I90" i="39" s="1"/>
  <c r="F91" i="39"/>
  <c r="F89" i="39" s="1"/>
  <c r="F90" i="39" s="1"/>
  <c r="G106" i="39"/>
  <c r="B97" i="39"/>
  <c r="B95" i="39" s="1"/>
  <c r="B96" i="39" s="1"/>
  <c r="D91" i="39"/>
  <c r="C91" i="39"/>
  <c r="C89" i="39" s="1"/>
  <c r="C90" i="39" s="1"/>
  <c r="B91" i="39"/>
  <c r="B89" i="39" s="1"/>
  <c r="B90" i="39" s="1"/>
  <c r="J97" i="39"/>
  <c r="J95" i="39" s="1"/>
  <c r="J96" i="39" s="1"/>
  <c r="H91" i="37"/>
  <c r="H89" i="37" s="1"/>
  <c r="H90" i="37" s="1"/>
  <c r="G91" i="37"/>
  <c r="D97" i="37"/>
  <c r="I91" i="37"/>
  <c r="I89" i="37" s="1"/>
  <c r="I90" i="37" s="1"/>
  <c r="F91" i="37"/>
  <c r="F89" i="37" s="1"/>
  <c r="F90" i="37" s="1"/>
  <c r="D91" i="37"/>
  <c r="E91" i="37"/>
  <c r="E89" i="37" s="1"/>
  <c r="E90" i="37" s="1"/>
  <c r="C91" i="37"/>
  <c r="C89" i="37" s="1"/>
  <c r="C90" i="37" s="1"/>
  <c r="J97" i="37"/>
  <c r="J95" i="37" s="1"/>
  <c r="J96" i="37" s="1"/>
  <c r="F97" i="37"/>
  <c r="F95" i="37" s="1"/>
  <c r="F96" i="37" s="1"/>
  <c r="B91" i="37"/>
  <c r="B89" i="37" s="1"/>
  <c r="B90" i="37" s="1"/>
  <c r="H97" i="37"/>
  <c r="H95" i="37" s="1"/>
  <c r="H96" i="37" s="1"/>
  <c r="E97" i="37"/>
  <c r="E95" i="37" s="1"/>
  <c r="E96" i="37" s="1"/>
  <c r="G106" i="37"/>
  <c r="I97" i="37"/>
  <c r="I95" i="37" s="1"/>
  <c r="I96" i="37" s="1"/>
  <c r="C97" i="37"/>
  <c r="C95" i="37" s="1"/>
  <c r="C96" i="37" s="1"/>
  <c r="G97" i="37"/>
  <c r="J91" i="37"/>
  <c r="J89" i="37" s="1"/>
  <c r="J90" i="37" s="1"/>
  <c r="C106" i="37"/>
  <c r="B97" i="37"/>
  <c r="B95" i="37" s="1"/>
  <c r="B96" i="37" s="1"/>
  <c r="B97" i="36"/>
  <c r="B95" i="36" s="1"/>
  <c r="B96" i="36" s="1"/>
  <c r="F91" i="36"/>
  <c r="F89" i="36" s="1"/>
  <c r="F90" i="36" s="1"/>
  <c r="G91" i="36"/>
  <c r="G106" i="36"/>
  <c r="C97" i="36"/>
  <c r="C95" i="36" s="1"/>
  <c r="C96" i="36" s="1"/>
  <c r="J91" i="36"/>
  <c r="J89" i="36" s="1"/>
  <c r="J90" i="36" s="1"/>
  <c r="C91" i="36"/>
  <c r="C89" i="36" s="1"/>
  <c r="C90" i="36" s="1"/>
  <c r="B91" i="36"/>
  <c r="B89" i="36" s="1"/>
  <c r="B90" i="36" s="1"/>
  <c r="C106" i="36"/>
  <c r="E91" i="36"/>
  <c r="E89" i="36" s="1"/>
  <c r="E90" i="36" s="1"/>
  <c r="D91" i="36"/>
  <c r="D97" i="36"/>
  <c r="J97" i="36"/>
  <c r="J95" i="36" s="1"/>
  <c r="J96" i="36" s="1"/>
  <c r="I97" i="36"/>
  <c r="I95" i="36" s="1"/>
  <c r="I96" i="36" s="1"/>
  <c r="E97" i="36"/>
  <c r="E95" i="36" s="1"/>
  <c r="E96" i="36" s="1"/>
  <c r="H97" i="36"/>
  <c r="H95" i="36" s="1"/>
  <c r="H96" i="36" s="1"/>
  <c r="I91" i="36"/>
  <c r="I89" i="36" s="1"/>
  <c r="I90" i="36" s="1"/>
  <c r="G97" i="36"/>
  <c r="H91" i="36"/>
  <c r="H89" i="36" s="1"/>
  <c r="H90" i="36" s="1"/>
  <c r="F97" i="36"/>
  <c r="F95" i="36" s="1"/>
  <c r="F96" i="36" s="1"/>
  <c r="D91" i="38"/>
  <c r="F97" i="38"/>
  <c r="F95" i="38" s="1"/>
  <c r="F96" i="38" s="1"/>
  <c r="C91" i="38"/>
  <c r="C89" i="38" s="1"/>
  <c r="C90" i="38" s="1"/>
  <c r="B91" i="38"/>
  <c r="B89" i="38" s="1"/>
  <c r="B90" i="38" s="1"/>
  <c r="D97" i="38"/>
  <c r="E91" i="38"/>
  <c r="E89" i="38" s="1"/>
  <c r="E90" i="38" s="1"/>
  <c r="I97" i="38"/>
  <c r="I95" i="38" s="1"/>
  <c r="I96" i="38" s="1"/>
  <c r="E97" i="38"/>
  <c r="E95" i="38" s="1"/>
  <c r="E96" i="38" s="1"/>
  <c r="H97" i="38"/>
  <c r="H95" i="38" s="1"/>
  <c r="H96" i="38" s="1"/>
  <c r="J91" i="38"/>
  <c r="J89" i="38" s="1"/>
  <c r="J90" i="38" s="1"/>
  <c r="G97" i="38"/>
  <c r="B97" i="38"/>
  <c r="B95" i="38" s="1"/>
  <c r="B96" i="38" s="1"/>
  <c r="F91" i="38"/>
  <c r="F89" i="38" s="1"/>
  <c r="F90" i="38" s="1"/>
  <c r="J97" i="38"/>
  <c r="J95" i="38" s="1"/>
  <c r="J96" i="38" s="1"/>
  <c r="C97" i="38"/>
  <c r="C95" i="38" s="1"/>
  <c r="C96" i="38" s="1"/>
  <c r="I91" i="38"/>
  <c r="I89" i="38" s="1"/>
  <c r="I90" i="38" s="1"/>
  <c r="G106" i="38"/>
  <c r="C106" i="38"/>
  <c r="H91" i="38"/>
  <c r="H89" i="38" s="1"/>
  <c r="H90" i="38" s="1"/>
  <c r="G91" i="38"/>
  <c r="O8" i="35"/>
  <c r="O8" i="39"/>
  <c r="M8" i="37"/>
  <c r="M8" i="34"/>
  <c r="M8" i="38"/>
  <c r="M8" i="35"/>
  <c r="M8" i="39"/>
  <c r="C16" i="1"/>
  <c r="B16" i="1"/>
  <c r="M8" i="36" l="1"/>
  <c r="O8" i="33"/>
  <c r="O8" i="36"/>
  <c r="M8" i="33"/>
  <c r="B13" i="1"/>
  <c r="D14" i="10" l="1"/>
  <c r="C14" i="10"/>
  <c r="B14" i="10"/>
  <c r="B15" i="10"/>
  <c r="B16" i="10"/>
  <c r="B17" i="10"/>
  <c r="B13" i="10"/>
  <c r="Y5" i="10"/>
  <c r="X5" i="10"/>
  <c r="W5" i="10"/>
  <c r="V5" i="10"/>
  <c r="E19" i="1" l="1"/>
  <c r="E18" i="1"/>
  <c r="F30" i="10" l="1"/>
  <c r="F31" i="10"/>
  <c r="F36" i="1"/>
  <c r="F37" i="1" s="1"/>
  <c r="H31" i="10" l="1"/>
  <c r="G31" i="10"/>
  <c r="B101" i="2" l="1"/>
  <c r="G101" i="2" s="1"/>
  <c r="B100" i="2"/>
  <c r="G100" i="2" s="1"/>
  <c r="A5" i="2"/>
  <c r="B102" i="2" l="1"/>
  <c r="B103" i="2" s="1"/>
  <c r="B104" i="2" s="1"/>
  <c r="C76" i="2"/>
  <c r="L76" i="2"/>
  <c r="K76" i="2"/>
  <c r="M76" i="2" l="1"/>
  <c r="O9" i="2" s="1"/>
  <c r="G107" i="2" l="1"/>
  <c r="L78" i="2"/>
  <c r="M9" i="2"/>
  <c r="C107" i="2"/>
  <c r="M5" i="2" l="1"/>
  <c r="H30" i="1" l="1"/>
  <c r="H31" i="1"/>
  <c r="H32" i="1"/>
  <c r="H33" i="1"/>
  <c r="H34" i="1"/>
  <c r="H35" i="1"/>
  <c r="H36" i="1" l="1"/>
  <c r="B6" i="10"/>
  <c r="B7" i="10"/>
  <c r="B8" i="10"/>
  <c r="B9" i="10"/>
  <c r="B10" i="10"/>
  <c r="B11" i="10"/>
  <c r="B12" i="10"/>
  <c r="B5" i="10"/>
  <c r="B4" i="10"/>
  <c r="U5" i="10"/>
  <c r="T5" i="10"/>
  <c r="S5" i="10"/>
  <c r="R5" i="10"/>
  <c r="Q5" i="10"/>
  <c r="P5" i="10"/>
  <c r="O5" i="10"/>
  <c r="N5" i="10"/>
  <c r="M5" i="10"/>
  <c r="L5" i="10"/>
  <c r="H30" i="10" l="1"/>
  <c r="G30" i="10"/>
  <c r="B15" i="1"/>
  <c r="C15" i="1"/>
  <c r="D13" i="10"/>
  <c r="D17" i="10" s="1"/>
  <c r="D12" i="10"/>
  <c r="D16" i="10" s="1"/>
  <c r="D11" i="10"/>
  <c r="D15" i="10" s="1"/>
  <c r="D10" i="10"/>
  <c r="D9" i="10"/>
  <c r="D8" i="10"/>
  <c r="D5" i="10"/>
  <c r="D4" i="10"/>
  <c r="C13" i="10"/>
  <c r="C17" i="10" s="1"/>
  <c r="C12" i="10"/>
  <c r="C16" i="10" s="1"/>
  <c r="C11" i="10"/>
  <c r="C15" i="10" s="1"/>
  <c r="C10" i="10"/>
  <c r="C9" i="10"/>
  <c r="C8" i="10"/>
  <c r="C5" i="10"/>
  <c r="C4" i="10"/>
  <c r="F76" i="2" l="1"/>
  <c r="J76" i="2"/>
  <c r="H76" i="2" l="1"/>
  <c r="I76" i="2"/>
  <c r="B82" i="2" l="1"/>
  <c r="B83" i="2"/>
  <c r="C30" i="1"/>
  <c r="C38" i="1" s="1"/>
  <c r="B22" i="1" s="1"/>
  <c r="E76" i="2"/>
  <c r="B30" i="1" s="1"/>
  <c r="B38" i="1" s="1"/>
  <c r="B21" i="1" s="1"/>
  <c r="B84" i="2" l="1"/>
  <c r="K23" i="1"/>
  <c r="J23" i="1"/>
  <c r="I23" i="1"/>
  <c r="H23" i="1"/>
  <c r="C23" i="1"/>
  <c r="B23" i="1" s="1"/>
  <c r="B81" i="2"/>
  <c r="B97" i="2" l="1"/>
  <c r="B95" i="2" s="1"/>
  <c r="B96" i="2" s="1"/>
  <c r="O8" i="2"/>
  <c r="C97" i="2"/>
  <c r="C95" i="2" s="1"/>
  <c r="C96" i="2" s="1"/>
  <c r="G91" i="2"/>
  <c r="C91" i="2"/>
  <c r="C89" i="2" s="1"/>
  <c r="C90" i="2" s="1"/>
  <c r="D91" i="2"/>
  <c r="E91" i="2"/>
  <c r="E89" i="2" s="1"/>
  <c r="E90" i="2" s="1"/>
  <c r="E22" i="1"/>
  <c r="B25" i="1" s="1"/>
  <c r="B24" i="1"/>
  <c r="H97" i="2"/>
  <c r="H95" i="2" s="1"/>
  <c r="H96" i="2" s="1"/>
  <c r="I91" i="2"/>
  <c r="I89" i="2" s="1"/>
  <c r="I90" i="2" s="1"/>
  <c r="B91" i="2"/>
  <c r="E97" i="2"/>
  <c r="E95" i="2" s="1"/>
  <c r="E96" i="2" s="1"/>
  <c r="J91" i="2"/>
  <c r="J89" i="2" s="1"/>
  <c r="J90" i="2" s="1"/>
  <c r="G106" i="2"/>
  <c r="C106" i="2"/>
  <c r="F91" i="2"/>
  <c r="F89" i="2" s="1"/>
  <c r="F90" i="2" s="1"/>
  <c r="J97" i="2"/>
  <c r="J95" i="2" s="1"/>
  <c r="J96" i="2" s="1"/>
  <c r="H91" i="2"/>
  <c r="H89" i="2" s="1"/>
  <c r="H90" i="2" s="1"/>
  <c r="G97" i="2"/>
  <c r="M8" i="2"/>
  <c r="F97" i="2"/>
  <c r="F95" i="2" s="1"/>
  <c r="F96" i="2" s="1"/>
  <c r="I97" i="2"/>
  <c r="I95" i="2" s="1"/>
  <c r="I96" i="2" s="1"/>
  <c r="D97" i="2"/>
  <c r="B89" i="2" l="1"/>
  <c r="B90" i="2" s="1"/>
  <c r="D23" i="1"/>
  <c r="F34" i="10"/>
  <c r="H34" i="10" s="1"/>
  <c r="I34" i="10" s="1"/>
  <c r="I35" i="10" s="1"/>
  <c r="D24" i="1" l="1"/>
  <c r="C24" i="1" s="1"/>
  <c r="E25" i="1"/>
</calcChain>
</file>

<file path=xl/sharedStrings.xml><?xml version="1.0" encoding="utf-8"?>
<sst xmlns="http://schemas.openxmlformats.org/spreadsheetml/2006/main" count="907" uniqueCount="273">
  <si>
    <t>REF.</t>
  </si>
  <si>
    <t>PCS</t>
  </si>
  <si>
    <t>DOD-220A</t>
  </si>
  <si>
    <t>DOTD-230A</t>
  </si>
  <si>
    <t>DTD-210A</t>
  </si>
  <si>
    <t>DTD-215A</t>
  </si>
  <si>
    <t>MAD-481</t>
  </si>
  <si>
    <t>MAD-490</t>
  </si>
  <si>
    <t xml:space="preserve"> Total</t>
  </si>
  <si>
    <t>A</t>
  </si>
  <si>
    <t>Fill the PCS field for the desired configuration (Yelow field)</t>
  </si>
  <si>
    <t>MAD-473</t>
  </si>
  <si>
    <t>MAD-472</t>
  </si>
  <si>
    <t>This tool may be used as a design help for Detnov Security S.L. We reserve the right not to be responsible for its accuracy, completeness or quality of the information provided, including any kind of information which could be incomplete or incorrect.</t>
  </si>
  <si>
    <t>MAD-461-I</t>
  </si>
  <si>
    <t>DOD-220A-I</t>
  </si>
  <si>
    <t>DOTD-230A-I</t>
  </si>
  <si>
    <t>DTD-210A-I</t>
  </si>
  <si>
    <t>DTD-215A-I</t>
  </si>
  <si>
    <t xml:space="preserve"> </t>
  </si>
  <si>
    <t>MAD-401 &amp; MAD-401-I</t>
  </si>
  <si>
    <t>MAD-402 &amp; MAD-402-I</t>
  </si>
  <si>
    <t>MAD-411 &amp; MAD-411-I</t>
  </si>
  <si>
    <t>MAD-412 &amp; MAD-412-I</t>
  </si>
  <si>
    <t>MAD-421 &amp; MAD-421-I</t>
  </si>
  <si>
    <t>MAD-422 &amp; MAD-422-I</t>
  </si>
  <si>
    <t>MAD-431 &amp; MAD-431-I</t>
  </si>
  <si>
    <t>MAD-432 &amp; MAD-432-I</t>
  </si>
  <si>
    <t>MAD-441 &amp; MAD-441-I</t>
  </si>
  <si>
    <t>MAD-442 &amp; MAD-442-I</t>
  </si>
  <si>
    <t>MAD-450 &amp; MAD-450-I</t>
  </si>
  <si>
    <t>MAD-405-I</t>
  </si>
  <si>
    <t>MAD-409-I</t>
  </si>
  <si>
    <t>MAD-415-I</t>
  </si>
  <si>
    <t>MAD-419-I</t>
  </si>
  <si>
    <t>MAD-425-I</t>
  </si>
  <si>
    <t>MAD-429-I</t>
  </si>
  <si>
    <t>MAD-451-I</t>
  </si>
  <si>
    <t>I_Standby (A)</t>
  </si>
  <si>
    <t>I_Alarm (A)</t>
  </si>
  <si>
    <t>Maximum devices in alarm at the same time</t>
  </si>
  <si>
    <t>Detectors</t>
  </si>
  <si>
    <t>MCP</t>
  </si>
  <si>
    <t>Sounders/Strobes</t>
  </si>
  <si>
    <t>Modules</t>
  </si>
  <si>
    <t>Standby time</t>
  </si>
  <si>
    <t>h</t>
  </si>
  <si>
    <t>Alarm time</t>
  </si>
  <si>
    <t>min</t>
  </si>
  <si>
    <t>Select battery from the list</t>
  </si>
  <si>
    <t>BTD-1207</t>
  </si>
  <si>
    <t>BTD-1218</t>
  </si>
  <si>
    <t>BTD-1224</t>
  </si>
  <si>
    <t>I_Total_Standby</t>
  </si>
  <si>
    <t>I_Total_Alarm</t>
  </si>
  <si>
    <t>1,25 Cmin</t>
  </si>
  <si>
    <t>Selected battery</t>
  </si>
  <si>
    <t>CAD-150-2</t>
  </si>
  <si>
    <t>CAD-150-4</t>
  </si>
  <si>
    <t>Select standby time</t>
  </si>
  <si>
    <t>Select alarm time</t>
  </si>
  <si>
    <t>Devices Loop 1</t>
  </si>
  <si>
    <t>Loop</t>
  </si>
  <si>
    <t>Loop 1</t>
  </si>
  <si>
    <t>Loop 2</t>
  </si>
  <si>
    <t>Loop 3</t>
  </si>
  <si>
    <t>Loop 4</t>
  </si>
  <si>
    <t>Loop 5</t>
  </si>
  <si>
    <t>Loop 6</t>
  </si>
  <si>
    <t>Loop 7</t>
  </si>
  <si>
    <t>Loop 8</t>
  </si>
  <si>
    <t>TPLD-100 (CCD-102) = 3 loop address</t>
  </si>
  <si>
    <t>TPLD-100 (CCD-104) = 5 loop address</t>
  </si>
  <si>
    <t>TPLD-100 (CCD-108) = 9 loop address</t>
  </si>
  <si>
    <t>TPLD-100 (CCD-112) = 13 loop address</t>
  </si>
  <si>
    <t>TPLD-100 (CCD-103) = 7 loop address</t>
  </si>
  <si>
    <t>CAD-150-2-MB</t>
  </si>
  <si>
    <t>Time backup power supply</t>
  </si>
  <si>
    <t>Select control panel from the list</t>
  </si>
  <si>
    <t>Tiempos según normativa</t>
  </si>
  <si>
    <t>Reposo (h)</t>
  </si>
  <si>
    <t>Alarma (min)</t>
  </si>
  <si>
    <t>Voltaje (V)</t>
  </si>
  <si>
    <t>Capacidad (Ah)</t>
  </si>
  <si>
    <t>Características baterías</t>
  </si>
  <si>
    <t>Características centrales</t>
  </si>
  <si>
    <t>Central</t>
  </si>
  <si>
    <t>I_Reposo (A)</t>
  </si>
  <si>
    <t>I_Alarma (A)</t>
  </si>
  <si>
    <t>CAD-150-1 &amp; CAD-150-1-Mini</t>
  </si>
  <si>
    <t>CAD-150-8 (4 lazos)</t>
  </si>
  <si>
    <t>CAD-150-8 (6 lazos)</t>
  </si>
  <si>
    <t>CAD-150-8 (8 lazos)</t>
  </si>
  <si>
    <t>CAD-150-8-PLUS (4 lazos)</t>
  </si>
  <si>
    <t>CAD-150-8-PLUS (6 lazos)</t>
  </si>
  <si>
    <t>CAD-150-8-PLUS (8 lazos)</t>
  </si>
  <si>
    <t>Para ocultar valores en celda: formato de numero. En el cuadro tipo escribir ;;; (3 puntos y coma)</t>
  </si>
  <si>
    <t>TABLA AUXILIAR</t>
  </si>
  <si>
    <t>Centrales</t>
  </si>
  <si>
    <t>CAD_150_1</t>
  </si>
  <si>
    <t>CAD_150_2</t>
  </si>
  <si>
    <t>CAD_150_2_MB</t>
  </si>
  <si>
    <t>CAD_150_4</t>
  </si>
  <si>
    <t>CAD_150_8_4loop</t>
  </si>
  <si>
    <t>CAD_150_8_6loop</t>
  </si>
  <si>
    <t>CAD_150_8_8loop</t>
  </si>
  <si>
    <t>CAD_150_8PLUS_4loop</t>
  </si>
  <si>
    <t>CAD_150_8PLUS_6loop</t>
  </si>
  <si>
    <t>CAD_150_8PLUS_8loop</t>
  </si>
  <si>
    <t>PCS_alarm</t>
  </si>
  <si>
    <t>Fill the field for the maximum % of devices in alarm at the same time (Yelow field)</t>
  </si>
  <si>
    <t>Extension Cards</t>
  </si>
  <si>
    <t>TRED-150</t>
  </si>
  <si>
    <t>TMB-151</t>
  </si>
  <si>
    <t>TMBFI-151</t>
  </si>
  <si>
    <t>TMB-251</t>
  </si>
  <si>
    <t>TMBFI-251</t>
  </si>
  <si>
    <t>TED-151-CL</t>
  </si>
  <si>
    <t>2 x 18 Ah</t>
  </si>
  <si>
    <t>2 x 24 Ah</t>
  </si>
  <si>
    <t>Panel auxilliary 24VCC output</t>
  </si>
  <si>
    <t>Cantidad tarjetas</t>
  </si>
  <si>
    <t>System Parameters</t>
  </si>
  <si>
    <t>Battery Time*</t>
  </si>
  <si>
    <t>Fill the PCS field if panel has extension card (Yellow field)</t>
  </si>
  <si>
    <t>2 x 7,2 Ah</t>
  </si>
  <si>
    <t>Minimum battery needed</t>
  </si>
  <si>
    <t>TABLA AUXILIAR 2: para condición de batería necesaria</t>
  </si>
  <si>
    <t>Section of wire</t>
  </si>
  <si>
    <t>Lenght loop</t>
  </si>
  <si>
    <t>mm2</t>
  </si>
  <si>
    <t>meters</t>
  </si>
  <si>
    <t>I_Sounders (A)</t>
  </si>
  <si>
    <t>System Check</t>
  </si>
  <si>
    <t>Current</t>
  </si>
  <si>
    <t>Addresses</t>
  </si>
  <si>
    <t>Loop Parameters</t>
  </si>
  <si>
    <t>Cu</t>
  </si>
  <si>
    <t>Ω*mm2/m</t>
  </si>
  <si>
    <t>I_Standby</t>
  </si>
  <si>
    <t>I_Alarm</t>
  </si>
  <si>
    <t>I_Sounders</t>
  </si>
  <si>
    <t>I_Total</t>
  </si>
  <si>
    <t>V_Lin_Ring</t>
  </si>
  <si>
    <t>V</t>
  </si>
  <si>
    <t>DET</t>
  </si>
  <si>
    <t>MOD</t>
  </si>
  <si>
    <t>SND</t>
  </si>
  <si>
    <t>ADR</t>
  </si>
  <si>
    <t>Fill Cable Section in mm2 and the Line Distance in meters (Yelow field)</t>
  </si>
  <si>
    <t>Warning: The Minimum Cable Seccion in the Loop is 0,5 mm2</t>
  </si>
  <si>
    <t>m</t>
  </si>
  <si>
    <t>Ω</t>
  </si>
  <si>
    <t>Warning: The Maximum Cable Length in the Loop is 3500 meters</t>
  </si>
  <si>
    <t>Minimum Cable Section for common Lenghts</t>
  </si>
  <si>
    <t>Lenghts</t>
  </si>
  <si>
    <t>R_Cable</t>
  </si>
  <si>
    <t>R_eq_Ring</t>
  </si>
  <si>
    <t>S_min</t>
  </si>
  <si>
    <t>Maximum Cable Lenght for Standard Cable Section (IEC 60228)</t>
  </si>
  <si>
    <t>Section</t>
  </si>
  <si>
    <t>L_max</t>
  </si>
  <si>
    <t>Maximum Current Calculation</t>
  </si>
  <si>
    <t>? S</t>
  </si>
  <si>
    <t>? L</t>
  </si>
  <si>
    <t>R_Cable_Sys</t>
  </si>
  <si>
    <t>R_eq_Ring_Sys</t>
  </si>
  <si>
    <t>I_max</t>
  </si>
  <si>
    <t>Sección cable</t>
  </si>
  <si>
    <t>Fuentes alimentación:</t>
  </si>
  <si>
    <t>Dif. Entre BTD y Minimum battery needed</t>
  </si>
  <si>
    <t>PS necesaria:</t>
  </si>
  <si>
    <t>Devices Loop 2</t>
  </si>
  <si>
    <t>Devices Loop 3</t>
  </si>
  <si>
    <t>Devices Loop 4</t>
  </si>
  <si>
    <t>Devices Loop 5</t>
  </si>
  <si>
    <t>Devices Loop 6</t>
  </si>
  <si>
    <t>Devices Loop 7</t>
  </si>
  <si>
    <t>Devices Loop 8</t>
  </si>
  <si>
    <t>Max.10/loop</t>
  </si>
  <si>
    <t>Panel sounder output 1</t>
  </si>
  <si>
    <t>Pantel sounder output 2</t>
  </si>
  <si>
    <t>CAD-150-4-P</t>
  </si>
  <si>
    <t>CAD-150-8-PLUS-P (4 lazos)</t>
  </si>
  <si>
    <t>CAD-150-8-PLUS-P (6 lazos)</t>
  </si>
  <si>
    <t>CAD-150-8-PLUS-P (8 lazos)</t>
  </si>
  <si>
    <t>CAD_150_4_P</t>
  </si>
  <si>
    <t>CAD_150_8PLUS_P_8loop</t>
  </si>
  <si>
    <t>CAD_150_8PLUS_P_6loop</t>
  </si>
  <si>
    <t>CAD_150_8PLUS_P_4loop</t>
  </si>
  <si>
    <t>SYSTEM CALCULATOR DETNOV CAD-150 EXCEL TOOL</t>
  </si>
  <si>
    <t>DGD-600</t>
  </si>
  <si>
    <t>DGD-600-AC</t>
  </si>
  <si>
    <t>DGD-620</t>
  </si>
  <si>
    <t>DGD-620-AC</t>
  </si>
  <si>
    <t>*Battery time: Standby time + Alarm mode time</t>
  </si>
  <si>
    <t>PAD-10A-I</t>
  </si>
  <si>
    <t>BTD-1212</t>
  </si>
  <si>
    <t>2 x 12 Ah**</t>
  </si>
  <si>
    <t>**BTD-1212 only available for CAD-150-2-MB and CAD-150-4</t>
  </si>
  <si>
    <t>AWG</t>
  </si>
  <si>
    <t>BTD-12120</t>
  </si>
  <si>
    <t>BTD-1244</t>
  </si>
  <si>
    <t>DBD-70A</t>
  </si>
  <si>
    <t>MAD-481-I</t>
  </si>
  <si>
    <t>MAD-464-I Low Volume (78 dB)</t>
  </si>
  <si>
    <t>MAD-464-I Medium Volume (93 dB)</t>
  </si>
  <si>
    <t>MAD-464-I High Volume (97 dB)</t>
  </si>
  <si>
    <t>MAD-465-I Medium Volume (93 dB)</t>
  </si>
  <si>
    <t>MAD-465-I Low Volume (78 dB)</t>
  </si>
  <si>
    <t>MAD-465-I High Volume (97 dB)</t>
  </si>
  <si>
    <t>MAD-564-I (loop)</t>
  </si>
  <si>
    <t>MAD-564-I (External PS)</t>
  </si>
  <si>
    <t>MAD-565-I (loop)</t>
  </si>
  <si>
    <t>MAD-567-I (loop)</t>
  </si>
  <si>
    <t>MAD-569-I (loop)</t>
  </si>
  <si>
    <t>MAD-565-I (External PS)</t>
  </si>
  <si>
    <t>MAD-567-I (External PS)</t>
  </si>
  <si>
    <t>MAD-569-I (External PS)</t>
  </si>
  <si>
    <t>MAD-565-I - only flash (loop)</t>
  </si>
  <si>
    <t>MAD-565-I - only flash (External PS)</t>
  </si>
  <si>
    <t>MAD-569-I - only flash (loop)</t>
  </si>
  <si>
    <t>MAD-569-I only flash (External PS)</t>
  </si>
  <si>
    <t>Description</t>
  </si>
  <si>
    <t>Addressable smoke detector</t>
  </si>
  <si>
    <t>Addressable smoke detector with isolator</t>
  </si>
  <si>
    <t>Addressable smoke and heat detector</t>
  </si>
  <si>
    <t>Addressable smoke and heat detector with isolator</t>
  </si>
  <si>
    <t>Addressable heat detector</t>
  </si>
  <si>
    <t>Addressable heat detector with isolator</t>
  </si>
  <si>
    <t>Addressable high temperature detector</t>
  </si>
  <si>
    <t>Addressable high temperature detector with isolator</t>
  </si>
  <si>
    <t>Stand-alone natural gas detector (24V)</t>
  </si>
  <si>
    <t>Stand-alone natural gas detector (230V)</t>
  </si>
  <si>
    <t>Stand-alone LPG detector (24V)</t>
  </si>
  <si>
    <t>Stand-alone LPG detector (230V)</t>
  </si>
  <si>
    <t>Addressable lineal smoke detector</t>
  </si>
  <si>
    <t>1 output addressable module</t>
  </si>
  <si>
    <t>2 outputs addressable module</t>
  </si>
  <si>
    <t>5 outputs addressable module</t>
  </si>
  <si>
    <t>10 outputs addressable module</t>
  </si>
  <si>
    <t>1 input addressable module</t>
  </si>
  <si>
    <t>2 inputs addressable module</t>
  </si>
  <si>
    <t>5 inputs addressable module</t>
  </si>
  <si>
    <t>10 inputs addressable module</t>
  </si>
  <si>
    <t>1 output/1 input addressable module</t>
  </si>
  <si>
    <t>2 outputs/2 inputs addressable module</t>
  </si>
  <si>
    <t>5 outputs/5 inputs addressable module</t>
  </si>
  <si>
    <t>10 outputs/10 inputs addressable module</t>
  </si>
  <si>
    <t>1 output 24V addressable module</t>
  </si>
  <si>
    <t>2 outputs 24V addressable module</t>
  </si>
  <si>
    <t>1 conventional zone addressable module</t>
  </si>
  <si>
    <t>2 conventionals zones addressable module</t>
  </si>
  <si>
    <t>Addressable manual call point with isolator</t>
  </si>
  <si>
    <t>Addressable sounder with isolator</t>
  </si>
  <si>
    <t>Addressable sounder with beacon and isolator</t>
  </si>
  <si>
    <t>Addressable sounder with VAD and isolator</t>
  </si>
  <si>
    <t>Addressable VAD with isolator</t>
  </si>
  <si>
    <t>Sounder base with isolator</t>
  </si>
  <si>
    <t>Sounder &amp; VAD base with isolator</t>
  </si>
  <si>
    <t>VAD base with isolator</t>
  </si>
  <si>
    <t>Sounder base</t>
  </si>
  <si>
    <t>Sounder base with flash</t>
  </si>
  <si>
    <t>1 output 230V addressable module</t>
  </si>
  <si>
    <t>1 output 230V addressable module with isolator</t>
  </si>
  <si>
    <t>Isolator module</t>
  </si>
  <si>
    <t>Remote indicator with isolator</t>
  </si>
  <si>
    <t>Extinguishing control panel connected to loop</t>
  </si>
  <si>
    <t>2 zones fire alarm control panel connected to loop</t>
  </si>
  <si>
    <t>4 zones fire alarm control panel connected to loop</t>
  </si>
  <si>
    <t>8 zones fire alarm control panel connected to loop</t>
  </si>
  <si>
    <t>12 zones fire alarm control panel connected to loop</t>
  </si>
  <si>
    <t>SC 116 en 2019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</si>
</sst>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0\ &quot;€&quot;"/>
    <numFmt numFmtId="165" formatCode="0.000000"/>
    <numFmt numFmtId="166" formatCode="0.000"/>
    <numFmt numFmtId="167" formatCode=";;;"/>
    <numFmt numFmtId="168" formatCode="0.00\ &quot;h&quot;"/>
    <numFmt numFmtId="169" formatCode="0\ &quot;V&quot;"/>
    <numFmt numFmtId="170" formatCode="0\ &quot;Ah&quot;"/>
    <numFmt numFmtId="171" formatCode="0.0\ &quot;Ah&quot;"/>
    <numFmt numFmtId="172" formatCode="0.0"/>
    <numFmt numFmtId="173" formatCode="0.00\ &quot;A&quot;"/>
    <numFmt numFmtId="174" formatCode="0.0\ &quot;mm2&quot;"/>
    <numFmt numFmtId="175" formatCode="0\ &quot;AWG&quot;"/>
  </numFmts>
  <fonts count="19" x14ac:knownFonts="1">
    <font>
      <sz val="10"/>
      <name val="Arial"/>
    </font>
    <font>
      <b/>
      <sz val="11"/>
      <color indexed="8"/>
      <name val="Calibri"/>
      <family val="2"/>
    </font>
    <font>
      <b/>
      <sz val="10"/>
      <name val="Arial"/>
      <family val="2"/>
    </font>
    <font>
      <i/>
      <sz val="10"/>
      <name val="Arial"/>
      <family val="2"/>
    </font>
    <font>
      <b/>
      <sz val="10"/>
      <color indexed="17"/>
      <name val="Arial"/>
      <family val="2"/>
    </font>
    <font>
      <sz val="10"/>
      <name val="Arial"/>
      <family val="2"/>
    </font>
    <font>
      <sz val="10"/>
      <name val="Calibri"/>
      <family val="2"/>
    </font>
    <font>
      <b/>
      <sz val="10"/>
      <color theme="0"/>
      <name val="Arial"/>
      <family val="2"/>
    </font>
    <font>
      <b/>
      <sz val="10"/>
      <color rgb="FFFF0000"/>
      <name val="Arial"/>
      <family val="2"/>
    </font>
    <font>
      <sz val="10"/>
      <name val="Arial"/>
      <family val="2"/>
    </font>
    <font>
      <b/>
      <sz val="10"/>
      <color theme="4"/>
      <name val="Arial"/>
      <family val="2"/>
    </font>
    <font>
      <sz val="8"/>
      <name val="Arial"/>
      <family val="2"/>
    </font>
    <font>
      <b/>
      <sz val="24"/>
      <color rgb="FFFF0000"/>
      <name val="Arial"/>
      <family val="2"/>
    </font>
    <font>
      <b/>
      <sz val="10"/>
      <color rgb="FF008000"/>
      <name val="Arial"/>
      <family val="2"/>
    </font>
    <font>
      <b/>
      <sz val="10"/>
      <color indexed="10"/>
      <name val="Arial"/>
      <family val="2"/>
    </font>
    <font>
      <b/>
      <sz val="10"/>
      <color indexed="53"/>
      <name val="Arial"/>
      <family val="2"/>
    </font>
    <font>
      <sz val="10"/>
      <color theme="0"/>
      <name val="Arial"/>
      <family val="2"/>
    </font>
    <font>
      <b/>
      <sz val="9"/>
      <color rgb="FFFF0000"/>
      <name val="Arial"/>
      <family val="2"/>
    </font>
    <font>
      <sz val="8"/>
      <name val="Arial"/>
      <family val="2"/>
    </font>
  </fonts>
  <fills count="6">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indexed="42"/>
        <bgColor indexed="64"/>
      </patternFill>
    </fill>
    <fill>
      <patternFill patternType="solid">
        <fgColor rgb="FFCCFFCC"/>
        <bgColor indexed="64"/>
      </patternFill>
    </fill>
  </fills>
  <borders count="56">
    <border>
      <left/>
      <right/>
      <top/>
      <bottom/>
      <diagonal/>
    </border>
    <border>
      <left/>
      <right/>
      <top/>
      <bottom style="medium">
        <color indexed="1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diagonal/>
    </border>
  </borders>
  <cellStyleXfs count="2">
    <xf numFmtId="0" fontId="0" fillId="0" borderId="0"/>
    <xf numFmtId="9" fontId="9" fillId="0" borderId="0" applyFont="0" applyFill="0" applyBorder="0" applyAlignment="0" applyProtection="0"/>
  </cellStyleXfs>
  <cellXfs count="233">
    <xf numFmtId="0" fontId="0" fillId="0" borderId="0" xfId="0"/>
    <xf numFmtId="9" fontId="0" fillId="0" borderId="0" xfId="0" applyNumberFormat="1"/>
    <xf numFmtId="164" fontId="0" fillId="0" borderId="0" xfId="0" applyNumberFormat="1"/>
    <xf numFmtId="0" fontId="1" fillId="0" borderId="0" xfId="0" applyFont="1"/>
    <xf numFmtId="0" fontId="2" fillId="0" borderId="1" xfId="0" applyFont="1" applyBorder="1"/>
    <xf numFmtId="164" fontId="2" fillId="0" borderId="1" xfId="0" applyNumberFormat="1" applyFont="1" applyBorder="1"/>
    <xf numFmtId="9" fontId="2" fillId="0" borderId="1" xfId="0" applyNumberFormat="1" applyFont="1" applyBorder="1"/>
    <xf numFmtId="0" fontId="2" fillId="0" borderId="0" xfId="0" applyFont="1"/>
    <xf numFmtId="0" fontId="2" fillId="0" borderId="2" xfId="0" applyFont="1" applyBorder="1"/>
    <xf numFmtId="0" fontId="2" fillId="0" borderId="3" xfId="0" applyFont="1" applyBorder="1"/>
    <xf numFmtId="0" fontId="2" fillId="0" borderId="4" xfId="0" applyFont="1" applyBorder="1"/>
    <xf numFmtId="0" fontId="4" fillId="0" borderId="0" xfId="0" applyFont="1"/>
    <xf numFmtId="164" fontId="2" fillId="0" borderId="1" xfId="0" applyNumberFormat="1" applyFont="1" applyBorder="1" applyAlignment="1">
      <alignment horizontal="right"/>
    </xf>
    <xf numFmtId="0" fontId="5" fillId="0" borderId="0" xfId="0" applyFont="1"/>
    <xf numFmtId="0" fontId="5" fillId="0" borderId="16" xfId="0" applyFont="1" applyBorder="1"/>
    <xf numFmtId="0" fontId="2" fillId="0" borderId="12" xfId="0" applyFont="1" applyBorder="1"/>
    <xf numFmtId="165" fontId="2" fillId="0" borderId="13" xfId="0" applyNumberFormat="1" applyFont="1" applyBorder="1"/>
    <xf numFmtId="0" fontId="0" fillId="0" borderId="5" xfId="0" applyBorder="1"/>
    <xf numFmtId="0" fontId="0" fillId="0" borderId="6" xfId="0" applyBorder="1"/>
    <xf numFmtId="0" fontId="0" fillId="2" borderId="7" xfId="0" applyFill="1" applyBorder="1" applyProtection="1">
      <protection locked="0"/>
    </xf>
    <xf numFmtId="165" fontId="0" fillId="0" borderId="7" xfId="0" applyNumberFormat="1" applyBorder="1"/>
    <xf numFmtId="0" fontId="5" fillId="0" borderId="6" xfId="0" applyFont="1" applyBorder="1"/>
    <xf numFmtId="0" fontId="5" fillId="0" borderId="9" xfId="0" applyFont="1" applyBorder="1"/>
    <xf numFmtId="0" fontId="0" fillId="2" borderId="10" xfId="0" applyFill="1" applyBorder="1" applyProtection="1">
      <protection locked="0"/>
    </xf>
    <xf numFmtId="0" fontId="0" fillId="0" borderId="0" xfId="0" applyAlignment="1">
      <alignment horizontal="center"/>
    </xf>
    <xf numFmtId="0" fontId="6" fillId="0" borderId="0" xfId="0" applyFont="1"/>
    <xf numFmtId="0" fontId="8" fillId="0" borderId="0" xfId="0" applyFont="1"/>
    <xf numFmtId="0" fontId="5" fillId="0" borderId="5" xfId="0" applyFont="1" applyBorder="1"/>
    <xf numFmtId="0" fontId="5" fillId="0" borderId="11" xfId="0" applyFont="1" applyBorder="1"/>
    <xf numFmtId="9" fontId="2" fillId="0" borderId="0" xfId="0" applyNumberFormat="1" applyFont="1"/>
    <xf numFmtId="164" fontId="2" fillId="0" borderId="0" xfId="0" applyNumberFormat="1" applyFont="1"/>
    <xf numFmtId="164" fontId="2" fillId="0" borderId="0" xfId="0" applyNumberFormat="1" applyFont="1" applyAlignment="1">
      <alignment horizontal="right"/>
    </xf>
    <xf numFmtId="0" fontId="0" fillId="2" borderId="16" xfId="0" applyFill="1" applyBorder="1" applyAlignment="1" applyProtection="1">
      <alignment horizontal="right"/>
      <protection locked="0"/>
    </xf>
    <xf numFmtId="0" fontId="0" fillId="2" borderId="22" xfId="0" applyFill="1" applyBorder="1" applyAlignment="1" applyProtection="1">
      <alignment horizontal="right"/>
      <protection locked="0"/>
    </xf>
    <xf numFmtId="0" fontId="5" fillId="0" borderId="23" xfId="0" applyFont="1" applyBorder="1"/>
    <xf numFmtId="0" fontId="0" fillId="0" borderId="24" xfId="0" applyBorder="1"/>
    <xf numFmtId="0" fontId="5" fillId="0" borderId="25" xfId="0" applyFont="1" applyBorder="1"/>
    <xf numFmtId="0" fontId="0" fillId="0" borderId="21" xfId="0" applyBorder="1"/>
    <xf numFmtId="0" fontId="2" fillId="0" borderId="7" xfId="0" applyFont="1" applyBorder="1"/>
    <xf numFmtId="0" fontId="0" fillId="0" borderId="20" xfId="0" applyBorder="1"/>
    <xf numFmtId="0" fontId="0" fillId="0" borderId="19" xfId="0" applyBorder="1"/>
    <xf numFmtId="0" fontId="0" fillId="0" borderId="17" xfId="0" applyBorder="1"/>
    <xf numFmtId="0" fontId="2" fillId="0" borderId="26" xfId="0" applyFont="1" applyBorder="1"/>
    <xf numFmtId="0" fontId="2" fillId="0" borderId="27" xfId="0" applyFont="1" applyBorder="1"/>
    <xf numFmtId="0" fontId="10" fillId="0" borderId="0" xfId="0" applyFont="1"/>
    <xf numFmtId="166" fontId="5" fillId="0" borderId="24" xfId="0" applyNumberFormat="1" applyFont="1" applyBorder="1"/>
    <xf numFmtId="0" fontId="5" fillId="0" borderId="24" xfId="0" applyFont="1" applyBorder="1"/>
    <xf numFmtId="0" fontId="5" fillId="3" borderId="0" xfId="0" applyFont="1" applyFill="1"/>
    <xf numFmtId="0" fontId="5" fillId="0" borderId="7" xfId="0" applyFont="1" applyBorder="1"/>
    <xf numFmtId="0" fontId="0" fillId="0" borderId="7" xfId="0" applyBorder="1"/>
    <xf numFmtId="9" fontId="0" fillId="2" borderId="8" xfId="1" applyFont="1" applyFill="1" applyBorder="1" applyAlignment="1" applyProtection="1">
      <alignment horizontal="right"/>
      <protection locked="0"/>
    </xf>
    <xf numFmtId="0" fontId="0" fillId="0" borderId="29" xfId="0" applyBorder="1"/>
    <xf numFmtId="9" fontId="0" fillId="2" borderId="11" xfId="1" applyFont="1" applyFill="1" applyBorder="1" applyAlignment="1" applyProtection="1">
      <alignment horizontal="right"/>
      <protection locked="0"/>
    </xf>
    <xf numFmtId="165" fontId="0" fillId="0" borderId="15" xfId="0" applyNumberFormat="1" applyBorder="1" applyProtection="1">
      <protection hidden="1"/>
    </xf>
    <xf numFmtId="165" fontId="0" fillId="0" borderId="10" xfId="0" applyNumberFormat="1" applyBorder="1" applyProtection="1">
      <protection hidden="1"/>
    </xf>
    <xf numFmtId="167" fontId="2" fillId="0" borderId="0" xfId="0" applyNumberFormat="1" applyFont="1" applyProtection="1">
      <protection hidden="1"/>
    </xf>
    <xf numFmtId="0" fontId="2" fillId="0" borderId="0" xfId="0" applyFont="1" applyAlignment="1" applyProtection="1">
      <alignment horizontal="left"/>
      <protection hidden="1"/>
    </xf>
    <xf numFmtId="165" fontId="0" fillId="0" borderId="7" xfId="0" applyNumberFormat="1" applyBorder="1" applyProtection="1">
      <protection hidden="1"/>
    </xf>
    <xf numFmtId="165" fontId="0" fillId="0" borderId="8" xfId="0" applyNumberFormat="1" applyBorder="1" applyProtection="1">
      <protection hidden="1"/>
    </xf>
    <xf numFmtId="165" fontId="2" fillId="0" borderId="13" xfId="0" applyNumberFormat="1" applyFont="1" applyBorder="1" applyProtection="1">
      <protection hidden="1"/>
    </xf>
    <xf numFmtId="165" fontId="2" fillId="0" borderId="14" xfId="0" applyNumberFormat="1" applyFont="1" applyBorder="1" applyProtection="1">
      <protection hidden="1"/>
    </xf>
    <xf numFmtId="165" fontId="7" fillId="0" borderId="13" xfId="0" applyNumberFormat="1" applyFont="1" applyBorder="1" applyProtection="1">
      <protection hidden="1"/>
    </xf>
    <xf numFmtId="0" fontId="2" fillId="0" borderId="13" xfId="0" applyFont="1" applyBorder="1" applyProtection="1">
      <protection hidden="1"/>
    </xf>
    <xf numFmtId="0" fontId="5" fillId="0" borderId="19" xfId="0" applyFont="1" applyBorder="1"/>
    <xf numFmtId="0" fontId="5" fillId="0" borderId="31" xfId="0" applyFont="1" applyBorder="1"/>
    <xf numFmtId="167" fontId="5" fillId="0" borderId="0" xfId="0" applyNumberFormat="1" applyFont="1" applyProtection="1">
      <protection hidden="1"/>
    </xf>
    <xf numFmtId="0" fontId="0" fillId="0" borderId="6" xfId="0" applyBorder="1" applyAlignment="1">
      <alignment vertical="top"/>
    </xf>
    <xf numFmtId="0" fontId="5" fillId="0" borderId="4" xfId="0" applyFont="1" applyBorder="1" applyAlignment="1">
      <alignment horizontal="center"/>
    </xf>
    <xf numFmtId="168" fontId="2" fillId="0" borderId="9" xfId="0" applyNumberFormat="1" applyFont="1" applyBorder="1"/>
    <xf numFmtId="168" fontId="2" fillId="0" borderId="10" xfId="0" applyNumberFormat="1" applyFont="1" applyBorder="1"/>
    <xf numFmtId="168" fontId="2" fillId="0" borderId="11" xfId="0" applyNumberFormat="1" applyFont="1" applyBorder="1"/>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left" vertical="center"/>
    </xf>
    <xf numFmtId="0" fontId="2" fillId="0" borderId="2" xfId="0" applyFont="1" applyBorder="1" applyAlignment="1">
      <alignment vertical="center"/>
    </xf>
    <xf numFmtId="0" fontId="1" fillId="0" borderId="28" xfId="0" applyFont="1" applyBorder="1" applyAlignment="1">
      <alignment vertical="center"/>
    </xf>
    <xf numFmtId="0" fontId="4" fillId="0" borderId="0" xfId="0" applyFont="1" applyAlignment="1">
      <alignment horizontal="left" vertical="center"/>
    </xf>
    <xf numFmtId="0" fontId="11" fillId="0" borderId="0" xfId="0" applyFont="1"/>
    <xf numFmtId="167" fontId="7" fillId="0" borderId="17" xfId="0" applyNumberFormat="1" applyFont="1" applyBorder="1" applyProtection="1">
      <protection hidden="1"/>
    </xf>
    <xf numFmtId="167" fontId="7" fillId="0" borderId="18" xfId="0" applyNumberFormat="1" applyFont="1" applyBorder="1" applyProtection="1">
      <protection hidden="1"/>
    </xf>
    <xf numFmtId="0" fontId="0" fillId="2" borderId="32" xfId="0" applyFill="1" applyBorder="1" applyAlignment="1" applyProtection="1">
      <alignment horizontal="left"/>
      <protection locked="0"/>
    </xf>
    <xf numFmtId="0" fontId="2" fillId="0" borderId="30" xfId="0" applyFont="1" applyBorder="1" applyAlignment="1">
      <alignment horizontal="center" vertical="center"/>
    </xf>
    <xf numFmtId="0" fontId="0" fillId="0" borderId="33"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0" fillId="0" borderId="34" xfId="0" applyBorder="1" applyAlignment="1">
      <alignment vertical="top"/>
    </xf>
    <xf numFmtId="167" fontId="0" fillId="0" borderId="33" xfId="0" applyNumberFormat="1" applyBorder="1" applyAlignment="1">
      <alignment vertical="top"/>
    </xf>
    <xf numFmtId="165" fontId="2" fillId="0" borderId="22" xfId="0" applyNumberFormat="1" applyFont="1" applyBorder="1" applyProtection="1">
      <protection hidden="1"/>
    </xf>
    <xf numFmtId="0" fontId="0" fillId="0" borderId="9" xfId="0" applyBorder="1" applyAlignment="1">
      <alignment vertical="top"/>
    </xf>
    <xf numFmtId="165" fontId="0" fillId="0" borderId="11" xfId="0" applyNumberFormat="1" applyBorder="1" applyProtection="1">
      <protection hidden="1"/>
    </xf>
    <xf numFmtId="167" fontId="0" fillId="0" borderId="0" xfId="0" applyNumberFormat="1"/>
    <xf numFmtId="0" fontId="2" fillId="0" borderId="35" xfId="0" applyFont="1" applyBorder="1"/>
    <xf numFmtId="0" fontId="5" fillId="0" borderId="8" xfId="0" applyFont="1" applyBorder="1"/>
    <xf numFmtId="0" fontId="5" fillId="0" borderId="37" xfId="0" applyFont="1" applyBorder="1"/>
    <xf numFmtId="0" fontId="0" fillId="2" borderId="17" xfId="0" applyFill="1" applyBorder="1" applyProtection="1">
      <protection locked="0"/>
    </xf>
    <xf numFmtId="0" fontId="5" fillId="0" borderId="18" xfId="0" applyFont="1" applyBorder="1"/>
    <xf numFmtId="0" fontId="2" fillId="0" borderId="13" xfId="0" applyFont="1" applyBorder="1"/>
    <xf numFmtId="0" fontId="2" fillId="0" borderId="14" xfId="0" applyFont="1" applyBorder="1"/>
    <xf numFmtId="0" fontId="0" fillId="2" borderId="10" xfId="0" applyFill="1" applyBorder="1" applyAlignment="1" applyProtection="1">
      <alignment horizontal="center" vertical="center"/>
      <protection locked="0"/>
    </xf>
    <xf numFmtId="0" fontId="2" fillId="0" borderId="0" xfId="0" applyFont="1" applyProtection="1">
      <protection hidden="1"/>
    </xf>
    <xf numFmtId="165" fontId="2" fillId="0" borderId="0" xfId="0" applyNumberFormat="1" applyFont="1"/>
    <xf numFmtId="165" fontId="2" fillId="0" borderId="0" xfId="0" applyNumberFormat="1" applyFont="1" applyProtection="1">
      <protection hidden="1"/>
    </xf>
    <xf numFmtId="165" fontId="7" fillId="0" borderId="0" xfId="0" applyNumberFormat="1" applyFont="1" applyProtection="1">
      <protection hidden="1"/>
    </xf>
    <xf numFmtId="0" fontId="0" fillId="0" borderId="8" xfId="0" applyBorder="1"/>
    <xf numFmtId="0" fontId="0" fillId="0" borderId="10" xfId="0" applyBorder="1"/>
    <xf numFmtId="0" fontId="0" fillId="0" borderId="11" xfId="0" applyBorder="1"/>
    <xf numFmtId="0" fontId="5" fillId="0" borderId="38" xfId="0" applyFont="1" applyBorder="1"/>
    <xf numFmtId="0" fontId="0" fillId="2" borderId="20" xfId="0" applyFill="1" applyBorder="1" applyProtection="1">
      <protection locked="0"/>
    </xf>
    <xf numFmtId="165" fontId="0" fillId="0" borderId="20" xfId="0" applyNumberFormat="1" applyBorder="1" applyProtection="1">
      <protection hidden="1"/>
    </xf>
    <xf numFmtId="0" fontId="0" fillId="0" borderId="39" xfId="0" applyBorder="1"/>
    <xf numFmtId="0" fontId="0" fillId="0" borderId="13" xfId="0" applyBorder="1"/>
    <xf numFmtId="0" fontId="0" fillId="0" borderId="14" xfId="0" applyBorder="1"/>
    <xf numFmtId="0" fontId="0" fillId="0" borderId="37" xfId="0" applyBorder="1"/>
    <xf numFmtId="165" fontId="0" fillId="0" borderId="17" xfId="0" applyNumberFormat="1" applyBorder="1" applyProtection="1">
      <protection hidden="1"/>
    </xf>
    <xf numFmtId="0" fontId="0" fillId="0" borderId="18" xfId="0" applyBorder="1"/>
    <xf numFmtId="164" fontId="2" fillId="0" borderId="4" xfId="0" applyNumberFormat="1" applyFont="1" applyBorder="1"/>
    <xf numFmtId="166" fontId="0" fillId="0" borderId="7" xfId="0" applyNumberFormat="1" applyBorder="1"/>
    <xf numFmtId="166" fontId="0" fillId="0" borderId="17" xfId="0" applyNumberFormat="1" applyBorder="1"/>
    <xf numFmtId="0" fontId="4" fillId="0" borderId="20" xfId="0" applyFont="1" applyBorder="1"/>
    <xf numFmtId="0" fontId="2" fillId="0" borderId="14" xfId="0" applyFont="1" applyBorder="1" applyProtection="1">
      <protection hidden="1"/>
    </xf>
    <xf numFmtId="0" fontId="2" fillId="0" borderId="34" xfId="0" applyFont="1" applyBorder="1" applyAlignment="1">
      <alignment horizontal="left"/>
    </xf>
    <xf numFmtId="0" fontId="2" fillId="0" borderId="33" xfId="0" applyFont="1" applyBorder="1" applyAlignment="1">
      <alignment horizontal="center"/>
    </xf>
    <xf numFmtId="0" fontId="2" fillId="0" borderId="33" xfId="0" applyFont="1" applyBorder="1"/>
    <xf numFmtId="0" fontId="2" fillId="0" borderId="22" xfId="0" applyFont="1" applyBorder="1"/>
    <xf numFmtId="0" fontId="0" fillId="0" borderId="3" xfId="0" applyBorder="1"/>
    <xf numFmtId="0" fontId="0" fillId="0" borderId="4" xfId="0" applyBorder="1"/>
    <xf numFmtId="0" fontId="13" fillId="0" borderId="0" xfId="0" applyFont="1"/>
    <xf numFmtId="0" fontId="14" fillId="0" borderId="0" xfId="0" applyFont="1"/>
    <xf numFmtId="0" fontId="15" fillId="0" borderId="0" xfId="0" applyFont="1"/>
    <xf numFmtId="0" fontId="5" fillId="0" borderId="41" xfId="0" applyFont="1" applyBorder="1"/>
    <xf numFmtId="0" fontId="0" fillId="0" borderId="42" xfId="0" applyBorder="1"/>
    <xf numFmtId="1" fontId="0" fillId="0" borderId="7" xfId="0" applyNumberFormat="1" applyBorder="1"/>
    <xf numFmtId="1" fontId="0" fillId="0" borderId="10" xfId="0" applyNumberFormat="1" applyBorder="1"/>
    <xf numFmtId="3" fontId="0" fillId="0" borderId="7" xfId="0" applyNumberFormat="1" applyBorder="1"/>
    <xf numFmtId="0" fontId="2" fillId="4" borderId="35" xfId="0" applyFont="1" applyFill="1" applyBorder="1" applyAlignment="1">
      <alignment horizontal="center"/>
    </xf>
    <xf numFmtId="0" fontId="2" fillId="4" borderId="36" xfId="0" applyFont="1" applyFill="1" applyBorder="1" applyAlignment="1">
      <alignment horizontal="center"/>
    </xf>
    <xf numFmtId="0" fontId="8" fillId="0" borderId="3" xfId="0" applyFont="1" applyBorder="1"/>
    <xf numFmtId="0" fontId="5" fillId="0" borderId="42" xfId="0" applyFont="1" applyBorder="1"/>
    <xf numFmtId="0" fontId="0" fillId="0" borderId="25" xfId="0" applyBorder="1"/>
    <xf numFmtId="0" fontId="5" fillId="0" borderId="43" xfId="0" applyFont="1" applyBorder="1"/>
    <xf numFmtId="0" fontId="0" fillId="0" borderId="43" xfId="0" applyBorder="1"/>
    <xf numFmtId="0" fontId="5" fillId="0" borderId="20" xfId="0" applyFont="1" applyBorder="1"/>
    <xf numFmtId="0" fontId="5" fillId="0" borderId="17" xfId="0" applyFont="1" applyBorder="1"/>
    <xf numFmtId="167" fontId="2" fillId="0" borderId="2" xfId="0" applyNumberFormat="1" applyFont="1" applyBorder="1"/>
    <xf numFmtId="167" fontId="2" fillId="0" borderId="3" xfId="0" applyNumberFormat="1" applyFont="1" applyBorder="1"/>
    <xf numFmtId="0" fontId="3" fillId="0" borderId="0" xfId="0" applyFont="1" applyAlignment="1">
      <alignment horizontal="justify" vertical="top" wrapText="1"/>
    </xf>
    <xf numFmtId="171" fontId="2" fillId="0" borderId="36" xfId="0" applyNumberFormat="1" applyFont="1" applyBorder="1"/>
    <xf numFmtId="167" fontId="5" fillId="0" borderId="0" xfId="0" applyNumberFormat="1" applyFont="1"/>
    <xf numFmtId="0" fontId="0" fillId="3" borderId="0" xfId="0" applyFill="1"/>
    <xf numFmtId="169" fontId="5" fillId="0" borderId="7" xfId="0" applyNumberFormat="1" applyFont="1" applyBorder="1" applyProtection="1">
      <protection hidden="1"/>
    </xf>
    <xf numFmtId="172" fontId="5" fillId="0" borderId="0" xfId="0" applyNumberFormat="1" applyFont="1"/>
    <xf numFmtId="0" fontId="5" fillId="0" borderId="45" xfId="0" applyFont="1" applyBorder="1"/>
    <xf numFmtId="0" fontId="5" fillId="0" borderId="46" xfId="0" applyFont="1" applyBorder="1"/>
    <xf numFmtId="0" fontId="5" fillId="0" borderId="47" xfId="0" applyFont="1" applyBorder="1"/>
    <xf numFmtId="0" fontId="5" fillId="0" borderId="32" xfId="0" applyFont="1" applyBorder="1"/>
    <xf numFmtId="0" fontId="5" fillId="0" borderId="48" xfId="0" applyFont="1" applyBorder="1"/>
    <xf numFmtId="0" fontId="5" fillId="0" borderId="40" xfId="0" applyFont="1" applyBorder="1"/>
    <xf numFmtId="167" fontId="16" fillId="0" borderId="7" xfId="0" applyNumberFormat="1" applyFont="1" applyBorder="1" applyProtection="1">
      <protection hidden="1"/>
    </xf>
    <xf numFmtId="170" fontId="6" fillId="0" borderId="7" xfId="0" applyNumberFormat="1" applyFont="1" applyBorder="1"/>
    <xf numFmtId="0" fontId="5" fillId="0" borderId="2" xfId="0" applyFont="1" applyBorder="1"/>
    <xf numFmtId="170" fontId="5" fillId="0" borderId="5" xfId="0" applyNumberFormat="1" applyFont="1" applyBorder="1"/>
    <xf numFmtId="0" fontId="5" fillId="0" borderId="15" xfId="0" applyFont="1" applyBorder="1"/>
    <xf numFmtId="170" fontId="5" fillId="0" borderId="6" xfId="0" applyNumberFormat="1" applyFont="1" applyBorder="1"/>
    <xf numFmtId="0" fontId="5" fillId="2" borderId="6" xfId="0" applyFont="1" applyFill="1" applyBorder="1" applyAlignment="1" applyProtection="1">
      <alignment horizontal="left"/>
      <protection locked="0"/>
    </xf>
    <xf numFmtId="171" fontId="5" fillId="0" borderId="6" xfId="0" applyNumberFormat="1" applyFont="1" applyBorder="1"/>
    <xf numFmtId="3" fontId="2" fillId="5" borderId="44" xfId="0" applyNumberFormat="1" applyFont="1" applyFill="1" applyBorder="1"/>
    <xf numFmtId="0" fontId="17" fillId="0" borderId="0" xfId="0" applyFont="1"/>
    <xf numFmtId="165" fontId="0" fillId="0" borderId="15" xfId="0" applyNumberFormat="1" applyBorder="1"/>
    <xf numFmtId="165" fontId="0" fillId="0" borderId="10" xfId="0" applyNumberFormat="1" applyBorder="1"/>
    <xf numFmtId="9" fontId="8" fillId="0" borderId="0" xfId="0" applyNumberFormat="1" applyFont="1"/>
    <xf numFmtId="0" fontId="5" fillId="0" borderId="8" xfId="0" applyFont="1" applyBorder="1" applyAlignment="1">
      <alignment horizontal="right"/>
    </xf>
    <xf numFmtId="173" fontId="0" fillId="2" borderId="7" xfId="0" applyNumberFormat="1" applyFill="1" applyBorder="1" applyProtection="1">
      <protection locked="0"/>
    </xf>
    <xf numFmtId="173" fontId="0" fillId="2" borderId="8" xfId="0" applyNumberFormat="1" applyFill="1" applyBorder="1" applyProtection="1">
      <protection locked="0"/>
    </xf>
    <xf numFmtId="0" fontId="0" fillId="2" borderId="38" xfId="0" applyFill="1" applyBorder="1" applyAlignment="1" applyProtection="1">
      <alignment horizontal="left"/>
      <protection locked="0"/>
    </xf>
    <xf numFmtId="169" fontId="0" fillId="0" borderId="20" xfId="0" applyNumberFormat="1" applyBorder="1" applyProtection="1">
      <protection hidden="1"/>
    </xf>
    <xf numFmtId="170" fontId="6" fillId="0" borderId="39" xfId="0" applyNumberFormat="1" applyFont="1" applyBorder="1"/>
    <xf numFmtId="0" fontId="5" fillId="0" borderId="34" xfId="0" applyFont="1" applyBorder="1"/>
    <xf numFmtId="173" fontId="0" fillId="2" borderId="10" xfId="0" applyNumberFormat="1" applyFill="1" applyBorder="1" applyProtection="1">
      <protection locked="0"/>
    </xf>
    <xf numFmtId="173" fontId="0" fillId="2" borderId="11" xfId="0" applyNumberFormat="1" applyFill="1" applyBorder="1" applyProtection="1">
      <protection locked="0"/>
    </xf>
    <xf numFmtId="173" fontId="0" fillId="2" borderId="17" xfId="0" applyNumberFormat="1" applyFill="1" applyBorder="1" applyProtection="1">
      <protection locked="0"/>
    </xf>
    <xf numFmtId="173" fontId="0" fillId="2" borderId="18" xfId="0" applyNumberFormat="1" applyFill="1" applyBorder="1" applyProtection="1">
      <protection locked="0"/>
    </xf>
    <xf numFmtId="0" fontId="5" fillId="0" borderId="12" xfId="0" applyFont="1" applyBorder="1"/>
    <xf numFmtId="0" fontId="5" fillId="0" borderId="13" xfId="0" applyFont="1" applyBorder="1"/>
    <xf numFmtId="0" fontId="5" fillId="0" borderId="14" xfId="0" applyFont="1" applyBorder="1"/>
    <xf numFmtId="0" fontId="3" fillId="0" borderId="0" xfId="0" applyFont="1" applyAlignment="1">
      <alignment horizontal="left" vertical="top" wrapText="1"/>
    </xf>
    <xf numFmtId="166" fontId="5" fillId="0" borderId="0" xfId="0" applyNumberFormat="1" applyFont="1"/>
    <xf numFmtId="166" fontId="0" fillId="0" borderId="0" xfId="0" applyNumberFormat="1"/>
    <xf numFmtId="166" fontId="0" fillId="0" borderId="24" xfId="0" applyNumberFormat="1" applyBorder="1"/>
    <xf numFmtId="0" fontId="5" fillId="0" borderId="50" xfId="0" applyFont="1" applyBorder="1"/>
    <xf numFmtId="166" fontId="0" fillId="0" borderId="50" xfId="0" applyNumberFormat="1" applyBorder="1"/>
    <xf numFmtId="166" fontId="0" fillId="0" borderId="21" xfId="0" applyNumberFormat="1" applyBorder="1"/>
    <xf numFmtId="0" fontId="2" fillId="0" borderId="51" xfId="0" applyFont="1" applyBorder="1"/>
    <xf numFmtId="0" fontId="2" fillId="0" borderId="20" xfId="0" applyFont="1" applyBorder="1"/>
    <xf numFmtId="0" fontId="0" fillId="0" borderId="52" xfId="0" applyBorder="1"/>
    <xf numFmtId="165" fontId="0" fillId="0" borderId="30" xfId="0" applyNumberFormat="1" applyBorder="1" applyProtection="1">
      <protection hidden="1"/>
    </xf>
    <xf numFmtId="165" fontId="0" fillId="0" borderId="29" xfId="0" applyNumberFormat="1" applyBorder="1" applyProtection="1">
      <protection hidden="1"/>
    </xf>
    <xf numFmtId="0" fontId="0" fillId="0" borderId="7" xfId="0" applyBorder="1" applyProtection="1">
      <protection locked="0" hidden="1"/>
    </xf>
    <xf numFmtId="0" fontId="0" fillId="0" borderId="17" xfId="0" applyBorder="1" applyProtection="1">
      <protection locked="0" hidden="1"/>
    </xf>
    <xf numFmtId="0" fontId="2" fillId="0" borderId="53" xfId="0" applyFont="1" applyBorder="1" applyAlignment="1">
      <alignment horizontal="center"/>
    </xf>
    <xf numFmtId="0" fontId="5" fillId="2" borderId="7" xfId="0" applyFont="1" applyFill="1" applyBorder="1" applyProtection="1">
      <protection locked="0"/>
    </xf>
    <xf numFmtId="174" fontId="0" fillId="2" borderId="17"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2" fillId="0" borderId="44" xfId="0" applyFont="1" applyBorder="1"/>
    <xf numFmtId="0" fontId="2" fillId="0" borderId="54" xfId="0" applyFont="1" applyBorder="1" applyAlignment="1">
      <alignment horizontal="left"/>
    </xf>
    <xf numFmtId="175" fontId="0" fillId="0" borderId="0" xfId="0" applyNumberFormat="1" applyAlignment="1" applyProtection="1">
      <alignment horizontal="center" vertical="center"/>
      <protection locked="0"/>
    </xf>
    <xf numFmtId="0" fontId="0" fillId="0" borderId="21" xfId="0" applyBorder="1" applyAlignment="1">
      <alignment wrapText="1"/>
    </xf>
    <xf numFmtId="0" fontId="0" fillId="0" borderId="27" xfId="0" applyBorder="1" applyAlignment="1">
      <alignment wrapText="1"/>
    </xf>
    <xf numFmtId="0" fontId="5" fillId="0" borderId="27" xfId="0" applyFont="1" applyBorder="1" applyAlignment="1">
      <alignment wrapText="1"/>
    </xf>
    <xf numFmtId="0" fontId="5" fillId="0" borderId="52" xfId="0" applyFont="1" applyBorder="1" applyAlignment="1">
      <alignment wrapText="1"/>
    </xf>
    <xf numFmtId="165" fontId="2" fillId="0" borderId="33" xfId="0" applyNumberFormat="1" applyFont="1" applyBorder="1" applyProtection="1">
      <protection hidden="1"/>
    </xf>
    <xf numFmtId="165" fontId="2" fillId="0" borderId="33" xfId="0" applyNumberFormat="1" applyFont="1" applyBorder="1"/>
    <xf numFmtId="165" fontId="0" fillId="0" borderId="17" xfId="0" applyNumberFormat="1" applyBorder="1"/>
    <xf numFmtId="0" fontId="2" fillId="0" borderId="12" xfId="0" applyFont="1" applyBorder="1" applyAlignment="1">
      <alignment horizontal="left"/>
    </xf>
    <xf numFmtId="0" fontId="2" fillId="0" borderId="44" xfId="0" applyFont="1" applyBorder="1" applyAlignment="1">
      <alignment horizontal="left"/>
    </xf>
    <xf numFmtId="0" fontId="2" fillId="0" borderId="13" xfId="0" applyFont="1" applyBorder="1" applyAlignment="1">
      <alignment horizontal="center"/>
    </xf>
    <xf numFmtId="165" fontId="0" fillId="0" borderId="19" xfId="0" applyNumberFormat="1" applyBorder="1" applyProtection="1">
      <protection hidden="1"/>
    </xf>
    <xf numFmtId="165" fontId="0" fillId="0" borderId="55" xfId="0" applyNumberFormat="1" applyBorder="1" applyProtection="1">
      <protection hidden="1"/>
    </xf>
    <xf numFmtId="174" fontId="0" fillId="2" borderId="25" xfId="0" applyNumberFormat="1" applyFill="1" applyBorder="1" applyAlignment="1" applyProtection="1">
      <alignment horizontal="center" vertical="center"/>
      <protection locked="0"/>
    </xf>
    <xf numFmtId="0" fontId="5" fillId="0" borderId="22" xfId="0" applyFont="1" applyBorder="1"/>
    <xf numFmtId="175" fontId="0" fillId="0" borderId="18" xfId="0" applyNumberFormat="1" applyBorder="1" applyAlignment="1" applyProtection="1">
      <alignment horizontal="center" vertical="center"/>
      <protection locked="0"/>
    </xf>
    <xf numFmtId="0" fontId="12" fillId="0" borderId="0" xfId="0" applyFont="1" applyAlignment="1">
      <alignment vertical="center"/>
    </xf>
    <xf numFmtId="0" fontId="3" fillId="0" borderId="0" xfId="0" applyFont="1" applyAlignment="1">
      <alignment horizontal="left" vertical="top" wrapText="1"/>
    </xf>
    <xf numFmtId="0" fontId="3" fillId="0" borderId="0" xfId="0" applyFont="1" applyAlignment="1">
      <alignment horizontal="justify" vertical="top" wrapText="1"/>
    </xf>
    <xf numFmtId="164" fontId="2" fillId="0" borderId="2" xfId="0" applyNumberFormat="1" applyFont="1" applyBorder="1" applyAlignment="1">
      <alignment horizontal="center"/>
    </xf>
    <xf numFmtId="164" fontId="2" fillId="0" borderId="4" xfId="0" applyNumberFormat="1" applyFont="1" applyBorder="1" applyAlignment="1">
      <alignment horizontal="center"/>
    </xf>
    <xf numFmtId="164" fontId="2" fillId="0" borderId="48" xfId="0" applyNumberFormat="1" applyFont="1" applyBorder="1" applyAlignment="1">
      <alignment horizontal="center"/>
    </xf>
    <xf numFmtId="164" fontId="2" fillId="0" borderId="49" xfId="0" applyNumberFormat="1" applyFont="1" applyBorder="1" applyAlignment="1">
      <alignment horizontal="center"/>
    </xf>
    <xf numFmtId="164" fontId="2" fillId="0" borderId="3" xfId="0" applyNumberFormat="1" applyFont="1" applyBorder="1" applyAlignment="1">
      <alignment horizontal="center"/>
    </xf>
    <xf numFmtId="0" fontId="8" fillId="0" borderId="0" xfId="0" applyFont="1" applyAlignment="1">
      <alignment horizontal="left" vertical="center" wrapText="1"/>
    </xf>
    <xf numFmtId="0" fontId="8" fillId="0" borderId="47" xfId="0" applyFont="1" applyBorder="1" applyAlignment="1">
      <alignment horizontal="left" vertical="center" wrapText="1"/>
    </xf>
  </cellXfs>
  <cellStyles count="2">
    <cellStyle name="Normal" xfId="0" builtinId="0"/>
    <cellStyle name="Porcentaje" xfId="1" builtinId="5"/>
  </cellStyles>
  <dxfs count="147">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b/>
        <i val="0"/>
        <color rgb="FF0070C0"/>
        <name val="Cambria"/>
        <family val="1"/>
        <scheme val="none"/>
      </font>
    </dxf>
    <dxf>
      <font>
        <b/>
        <i val="0"/>
        <color theme="9"/>
        <name val="Cambria"/>
        <family val="1"/>
        <scheme val="none"/>
      </font>
    </dxf>
    <dxf>
      <font>
        <color rgb="FFFFFF00"/>
      </font>
      <fill>
        <patternFill>
          <bgColor rgb="FFFF0000"/>
        </patternFill>
      </fill>
    </dxf>
    <dxf>
      <font>
        <color theme="0"/>
      </font>
    </dxf>
    <dxf>
      <font>
        <color rgb="FFFFFF00"/>
      </font>
      <fill>
        <patternFill>
          <bgColor rgb="FFFF0000"/>
        </patternFill>
      </fill>
    </dxf>
    <dxf>
      <font>
        <color theme="0"/>
      </font>
      <numFmt numFmtId="167" formatCode=";;;"/>
      <fill>
        <patternFill patternType="none">
          <bgColor auto="1"/>
        </patternFill>
      </fill>
    </dxf>
    <dxf>
      <font>
        <color theme="0"/>
      </font>
    </dxf>
    <dxf>
      <font>
        <color theme="0"/>
      </font>
      <numFmt numFmtId="167" formatCode=";;;"/>
      <fill>
        <patternFill patternType="none">
          <bgColor auto="1"/>
        </patternFill>
      </fill>
    </dxf>
    <dxf>
      <font>
        <color theme="0"/>
      </font>
    </dxf>
    <dxf>
      <font>
        <color theme="0"/>
      </font>
    </dxf>
    <dxf>
      <fill>
        <patternFill>
          <bgColor rgb="FFFF0000"/>
        </patternFill>
      </fill>
    </dxf>
    <dxf>
      <font>
        <color theme="0"/>
      </font>
    </dxf>
    <dxf>
      <font>
        <color theme="0"/>
      </font>
    </dxf>
    <dxf>
      <font>
        <color theme="0"/>
      </font>
    </dxf>
    <dxf>
      <font>
        <color theme="0"/>
      </font>
    </dxf>
    <dxf>
      <font>
        <color theme="0"/>
      </font>
    </dxf>
    <dxf>
      <font>
        <color theme="0"/>
      </font>
    </dxf>
    <dxf>
      <fill>
        <patternFill>
          <bgColor rgb="FF92D050"/>
        </patternFill>
      </fill>
    </dxf>
    <dxf>
      <font>
        <b/>
        <i val="0"/>
        <color rgb="FFFF0000"/>
      </font>
    </dxf>
    <dxf>
      <font>
        <color theme="0"/>
      </font>
    </dxf>
  </dxfs>
  <tableStyles count="0" defaultTableStyle="TableStyleMedium2" defaultPivotStyle="PivotStyleLight16"/>
  <colors>
    <mruColors>
      <color rgb="FFCCFFCC"/>
      <color rgb="FF008000"/>
      <color rgb="FF33CC33"/>
      <color rgb="FF006600"/>
      <color rgb="FF339933"/>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402639</xdr:colOff>
      <xdr:row>4</xdr:row>
      <xdr:rowOff>0</xdr:rowOff>
    </xdr:to>
    <xdr:pic>
      <xdr:nvPicPr>
        <xdr:cNvPr id="1117" name="Picture 1" descr="logo_detnov_CMYK_3D_transparente">
          <a:extLst>
            <a:ext uri="{FF2B5EF4-FFF2-40B4-BE49-F238E27FC236}">
              <a16:creationId xmlns:a16="http://schemas.microsoft.com/office/drawing/2014/main" id="{28E18D49-5CDD-4009-8297-70E84BA13D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557214</xdr:colOff>
      <xdr:row>3</xdr:row>
      <xdr:rowOff>139104</xdr:rowOff>
    </xdr:to>
    <xdr:pic>
      <xdr:nvPicPr>
        <xdr:cNvPr id="2" name="Picture 1" descr="logo_detnov_CMYK_3D_transparente">
          <a:extLst>
            <a:ext uri="{FF2B5EF4-FFF2-40B4-BE49-F238E27FC236}">
              <a16:creationId xmlns:a16="http://schemas.microsoft.com/office/drawing/2014/main" id="{75B861D0-9ECE-4E8D-A6A0-3B6F220039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706688" cy="660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557214</xdr:colOff>
      <xdr:row>3</xdr:row>
      <xdr:rowOff>139104</xdr:rowOff>
    </xdr:to>
    <xdr:pic>
      <xdr:nvPicPr>
        <xdr:cNvPr id="2" name="Picture 1" descr="logo_detnov_CMYK_3D_transparente">
          <a:extLst>
            <a:ext uri="{FF2B5EF4-FFF2-40B4-BE49-F238E27FC236}">
              <a16:creationId xmlns:a16="http://schemas.microsoft.com/office/drawing/2014/main" id="{F831325C-4E1B-4827-AD96-D6D3200636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695893" cy="654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554674</xdr:colOff>
      <xdr:row>3</xdr:row>
      <xdr:rowOff>136564</xdr:rowOff>
    </xdr:to>
    <xdr:pic>
      <xdr:nvPicPr>
        <xdr:cNvPr id="2" name="Picture 1" descr="logo_detnov_CMYK_3D_transparente">
          <a:extLst>
            <a:ext uri="{FF2B5EF4-FFF2-40B4-BE49-F238E27FC236}">
              <a16:creationId xmlns:a16="http://schemas.microsoft.com/office/drawing/2014/main" id="{62E90947-55A9-48E1-A13D-12E561B438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695893" cy="654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554674</xdr:colOff>
      <xdr:row>3</xdr:row>
      <xdr:rowOff>136564</xdr:rowOff>
    </xdr:to>
    <xdr:pic>
      <xdr:nvPicPr>
        <xdr:cNvPr id="2" name="Picture 1" descr="logo_detnov_CMYK_3D_transparente">
          <a:extLst>
            <a:ext uri="{FF2B5EF4-FFF2-40B4-BE49-F238E27FC236}">
              <a16:creationId xmlns:a16="http://schemas.microsoft.com/office/drawing/2014/main" id="{5C8F789B-182E-42D6-A6D1-DB2DFB7078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695893" cy="654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554674</xdr:colOff>
      <xdr:row>3</xdr:row>
      <xdr:rowOff>136564</xdr:rowOff>
    </xdr:to>
    <xdr:pic>
      <xdr:nvPicPr>
        <xdr:cNvPr id="2" name="Picture 1" descr="logo_detnov_CMYK_3D_transparente">
          <a:extLst>
            <a:ext uri="{FF2B5EF4-FFF2-40B4-BE49-F238E27FC236}">
              <a16:creationId xmlns:a16="http://schemas.microsoft.com/office/drawing/2014/main" id="{013E6646-ABF8-43FA-984C-8664479E2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695893" cy="654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554674</xdr:colOff>
      <xdr:row>3</xdr:row>
      <xdr:rowOff>136564</xdr:rowOff>
    </xdr:to>
    <xdr:pic>
      <xdr:nvPicPr>
        <xdr:cNvPr id="2" name="Picture 1" descr="logo_detnov_CMYK_3D_transparente">
          <a:extLst>
            <a:ext uri="{FF2B5EF4-FFF2-40B4-BE49-F238E27FC236}">
              <a16:creationId xmlns:a16="http://schemas.microsoft.com/office/drawing/2014/main" id="{4CB40634-453D-48BC-B45B-18566E994D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695893" cy="654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554674</xdr:colOff>
      <xdr:row>3</xdr:row>
      <xdr:rowOff>136564</xdr:rowOff>
    </xdr:to>
    <xdr:pic>
      <xdr:nvPicPr>
        <xdr:cNvPr id="2" name="Picture 1" descr="logo_detnov_CMYK_3D_transparente">
          <a:extLst>
            <a:ext uri="{FF2B5EF4-FFF2-40B4-BE49-F238E27FC236}">
              <a16:creationId xmlns:a16="http://schemas.microsoft.com/office/drawing/2014/main" id="{51495AF6-80FB-44A5-8D92-9CF624BF56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695893" cy="654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554674</xdr:colOff>
      <xdr:row>3</xdr:row>
      <xdr:rowOff>136564</xdr:rowOff>
    </xdr:to>
    <xdr:pic>
      <xdr:nvPicPr>
        <xdr:cNvPr id="2" name="Picture 1" descr="logo_detnov_CMYK_3D_transparente">
          <a:extLst>
            <a:ext uri="{FF2B5EF4-FFF2-40B4-BE49-F238E27FC236}">
              <a16:creationId xmlns:a16="http://schemas.microsoft.com/office/drawing/2014/main" id="{09EE5D87-2F11-4B1C-9CA4-78B6B81E3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695893" cy="654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etnov-my.sharepoint.com/personal/sandra_masriera_detnov_com/Documents/System%20Calculator%20v2019/CAD-150/System%20Calculator%20Detnov%20CAD-150%20(SC%20117%20es%202019%20i)%20EDITABLE.xlsx" TargetMode="External"/><Relationship Id="rId1" Type="http://schemas.openxmlformats.org/officeDocument/2006/relationships/externalLinkPath" Target="System%20Calculator%20Detnov%20CAD-150%20(SC%20117%20es%202019%20i)%20EDI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stem Calculation"/>
      <sheetName val="Datos"/>
      <sheetName val="SC_Lazo 1"/>
      <sheetName val="SC_Lazo 2"/>
      <sheetName val="SC_Lazo 3"/>
      <sheetName val="SC_Lazo 4"/>
      <sheetName val="SC_Lazo 5"/>
      <sheetName val="SC_Lazo 6"/>
      <sheetName val="SC_Lazo 7"/>
      <sheetName val="SC_Lazo 8"/>
    </sheetNames>
    <sheetDataSet>
      <sheetData sheetId="0"/>
      <sheetData sheetId="1"/>
      <sheetData sheetId="2">
        <row r="15">
          <cell r="D15">
            <v>1.272E-4</v>
          </cell>
          <cell r="G15">
            <v>3.6099999999999999E-3</v>
          </cell>
        </row>
        <row r="16">
          <cell r="D16">
            <v>1.9580000000000002E-4</v>
          </cell>
          <cell r="G16">
            <v>3.7400000000000003E-3</v>
          </cell>
        </row>
        <row r="17">
          <cell r="D17">
            <v>1.416E-4</v>
          </cell>
          <cell r="G17">
            <v>3.6000000000000003E-3</v>
          </cell>
        </row>
        <row r="18">
          <cell r="D18">
            <v>2.1239999999999999E-4</v>
          </cell>
          <cell r="G18">
            <v>3.7400000000000003E-3</v>
          </cell>
        </row>
        <row r="19">
          <cell r="D19">
            <v>1.2219999999999999E-4</v>
          </cell>
          <cell r="G19">
            <v>3.64E-3</v>
          </cell>
        </row>
        <row r="20">
          <cell r="D20">
            <v>1.9239999999999999E-4</v>
          </cell>
          <cell r="G20">
            <v>3.7599999999999999E-3</v>
          </cell>
        </row>
        <row r="21">
          <cell r="D21">
            <v>1.3369999999999997E-4</v>
          </cell>
          <cell r="G21">
            <v>3.7799999999999999E-3</v>
          </cell>
        </row>
        <row r="22">
          <cell r="D22">
            <v>2.0349999999999999E-4</v>
          </cell>
          <cell r="G22">
            <v>3.7699999999999999E-3</v>
          </cell>
        </row>
        <row r="23">
          <cell r="D23">
            <v>2.1800000000000001E-3</v>
          </cell>
          <cell r="G23">
            <v>2.2200000000000002E-3</v>
          </cell>
        </row>
        <row r="24">
          <cell r="D24">
            <v>2.5999999999999999E-3</v>
          </cell>
          <cell r="G24">
            <v>3.16E-3</v>
          </cell>
        </row>
        <row r="25">
          <cell r="D25">
            <v>2.1800000000000001E-3</v>
          </cell>
          <cell r="G25">
            <v>2.2200000000000002E-3</v>
          </cell>
        </row>
        <row r="26">
          <cell r="D26">
            <v>2.5999999999999999E-3</v>
          </cell>
          <cell r="G26">
            <v>3.16E-3</v>
          </cell>
        </row>
        <row r="27">
          <cell r="D27">
            <v>3.7999999999999999E-2</v>
          </cell>
          <cell r="G27">
            <v>3.7999999999999999E-2</v>
          </cell>
        </row>
        <row r="28">
          <cell r="D28">
            <v>2.1680000000000001E-4</v>
          </cell>
          <cell r="G28">
            <v>3.0600000000000002E-3</v>
          </cell>
        </row>
        <row r="29">
          <cell r="D29">
            <v>2.174E-4</v>
          </cell>
          <cell r="G29">
            <v>5.9500000000000004E-3</v>
          </cell>
        </row>
        <row r="30">
          <cell r="D30">
            <v>2.786E-4</v>
          </cell>
          <cell r="G30">
            <v>3.15E-3</v>
          </cell>
        </row>
        <row r="31">
          <cell r="D31">
            <v>3.6769999999999999E-4</v>
          </cell>
          <cell r="G31">
            <v>3.3E-3</v>
          </cell>
        </row>
        <row r="32">
          <cell r="D32">
            <v>1.916E-4</v>
          </cell>
          <cell r="G32">
            <v>3.0600000000000002E-3</v>
          </cell>
        </row>
        <row r="33">
          <cell r="D33">
            <v>1.9099999999999998E-4</v>
          </cell>
          <cell r="G33">
            <v>5.8399999999999997E-3</v>
          </cell>
        </row>
        <row r="34">
          <cell r="D34">
            <v>1.8880000000000001E-4</v>
          </cell>
          <cell r="G34">
            <v>3.9500000000000004E-3</v>
          </cell>
        </row>
        <row r="35">
          <cell r="D35">
            <v>1.8919999999999999E-4</v>
          </cell>
          <cell r="G35">
            <v>4.8399999999999997E-3</v>
          </cell>
        </row>
        <row r="36">
          <cell r="D36">
            <v>2.1009999999999998E-4</v>
          </cell>
          <cell r="G36">
            <v>5.9199999999999999E-3</v>
          </cell>
        </row>
        <row r="37">
          <cell r="D37">
            <v>2.34E-4</v>
          </cell>
          <cell r="G37">
            <v>5.9100000000000003E-3</v>
          </cell>
        </row>
        <row r="38">
          <cell r="D38">
            <v>2.8399999999999996E-4</v>
          </cell>
          <cell r="G38">
            <v>4.0800000000000003E-3</v>
          </cell>
        </row>
        <row r="39">
          <cell r="D39">
            <v>3.7659999999999999E-4</v>
          </cell>
          <cell r="G39">
            <v>5.0000000000000001E-3</v>
          </cell>
        </row>
        <row r="40">
          <cell r="D40">
            <v>2.1499999999999999E-4</v>
          </cell>
          <cell r="G40">
            <v>3.6099999999999999E-3</v>
          </cell>
        </row>
        <row r="41">
          <cell r="D41">
            <v>2.0330000000000001E-4</v>
          </cell>
          <cell r="G41">
            <v>6.7999999999999996E-3</v>
          </cell>
        </row>
        <row r="42">
          <cell r="D42">
            <v>1.8780000000000001E-4</v>
          </cell>
          <cell r="G42">
            <v>3.0400000000000002E-3</v>
          </cell>
        </row>
        <row r="43">
          <cell r="D43">
            <v>1.8780000000000001E-4</v>
          </cell>
          <cell r="G43">
            <v>5.8399999999999997E-3</v>
          </cell>
        </row>
        <row r="44">
          <cell r="D44">
            <v>1.7659999999999998E-4</v>
          </cell>
          <cell r="G44">
            <v>3.0299999999999997E-3</v>
          </cell>
        </row>
        <row r="45">
          <cell r="D45">
            <v>1.774E-4</v>
          </cell>
          <cell r="G45">
            <v>3.0000000000000001E-3</v>
          </cell>
        </row>
        <row r="46">
          <cell r="D46">
            <v>1.7689999999999999E-4</v>
          </cell>
          <cell r="G46">
            <v>8.3499999999999998E-3</v>
          </cell>
        </row>
        <row r="47">
          <cell r="D47">
            <v>1.7649999999999998E-4</v>
          </cell>
          <cell r="G47">
            <v>1.2320000000000001E-2</v>
          </cell>
        </row>
        <row r="48">
          <cell r="D48">
            <v>1.7649999999999998E-4</v>
          </cell>
          <cell r="G48">
            <v>1.2320000000000001E-2</v>
          </cell>
        </row>
        <row r="49">
          <cell r="D49">
            <v>1.7649999999999998E-4</v>
          </cell>
          <cell r="G49">
            <v>1.2320000000000001E-2</v>
          </cell>
        </row>
        <row r="50">
          <cell r="D50">
            <v>1.773E-4</v>
          </cell>
          <cell r="G50">
            <v>1.2320000000000001E-2</v>
          </cell>
        </row>
        <row r="51">
          <cell r="D51">
            <v>1.773E-4</v>
          </cell>
          <cell r="G51">
            <v>1.2320000000000001E-2</v>
          </cell>
        </row>
        <row r="52">
          <cell r="D52">
            <v>1.773E-4</v>
          </cell>
          <cell r="G52">
            <v>1.2320000000000001E-2</v>
          </cell>
        </row>
        <row r="53">
          <cell r="D53">
            <v>1.58E-3</v>
          </cell>
          <cell r="G53">
            <v>2.111E-2</v>
          </cell>
        </row>
        <row r="54">
          <cell r="D54">
            <v>3.5E-4</v>
          </cell>
          <cell r="G54">
            <v>8.0000000000000004E-4</v>
          </cell>
        </row>
        <row r="55">
          <cell r="D55">
            <v>1.58E-3</v>
          </cell>
          <cell r="G55">
            <v>3.3450000000000001E-2</v>
          </cell>
        </row>
        <row r="56">
          <cell r="D56">
            <v>3.5E-4</v>
          </cell>
          <cell r="G56">
            <v>8.0000000000000004E-4</v>
          </cell>
        </row>
        <row r="57">
          <cell r="D57">
            <v>1.58E-3</v>
          </cell>
          <cell r="G57">
            <v>3.3450000000000001E-2</v>
          </cell>
        </row>
        <row r="58">
          <cell r="D58">
            <v>3.5E-4</v>
          </cell>
          <cell r="G58">
            <v>8.0000000000000004E-4</v>
          </cell>
        </row>
        <row r="59">
          <cell r="D59">
            <v>1.17E-3</v>
          </cell>
          <cell r="G59">
            <v>8.9499999999999996E-3</v>
          </cell>
        </row>
        <row r="60">
          <cell r="D60">
            <v>2.61E-4</v>
          </cell>
          <cell r="G60">
            <v>7.1000000000000002E-4</v>
          </cell>
        </row>
        <row r="61">
          <cell r="D61">
            <v>1.17E-3</v>
          </cell>
          <cell r="G61">
            <v>2.3260000000000003E-2</v>
          </cell>
        </row>
        <row r="62">
          <cell r="D62">
            <v>2.5889999999999995E-4</v>
          </cell>
          <cell r="G62">
            <v>7.1000000000000002E-4</v>
          </cell>
        </row>
        <row r="63">
          <cell r="D63">
            <v>1.17E-3</v>
          </cell>
          <cell r="G63">
            <v>2.3260000000000003E-2</v>
          </cell>
        </row>
        <row r="64">
          <cell r="D64">
            <v>2.5889999999999995E-4</v>
          </cell>
          <cell r="G64">
            <v>7.1000000000000002E-4</v>
          </cell>
        </row>
        <row r="65">
          <cell r="D65">
            <v>1.0739999999999999E-4</v>
          </cell>
          <cell r="G65">
            <v>8.4499999999999992E-3</v>
          </cell>
        </row>
        <row r="66">
          <cell r="D66">
            <v>1.0679999999999999E-4</v>
          </cell>
          <cell r="G66">
            <v>9.4800000000000006E-3</v>
          </cell>
        </row>
        <row r="67">
          <cell r="D67">
            <v>2.9999999999999997E-4</v>
          </cell>
          <cell r="G67">
            <v>3.0000000000000001E-3</v>
          </cell>
        </row>
        <row r="68">
          <cell r="D68">
            <v>2.9999999999999997E-4</v>
          </cell>
          <cell r="G68">
            <v>3.0000000000000001E-3</v>
          </cell>
        </row>
        <row r="69">
          <cell r="D69">
            <v>6.9599999999999998E-5</v>
          </cell>
          <cell r="G69">
            <v>3.7659999999999999E-2</v>
          </cell>
        </row>
        <row r="70">
          <cell r="D70">
            <v>1.7640000000000001E-4</v>
          </cell>
          <cell r="G70">
            <v>2.98E-3</v>
          </cell>
        </row>
        <row r="71">
          <cell r="D71">
            <v>1.8629999999999999E-3</v>
          </cell>
          <cell r="G71">
            <v>1.8600000000000001E-3</v>
          </cell>
        </row>
        <row r="72">
          <cell r="D72">
            <v>1.8629999999999999E-3</v>
          </cell>
          <cell r="G72">
            <v>1.8600000000000001E-3</v>
          </cell>
        </row>
        <row r="73">
          <cell r="D73">
            <v>1.8629999999999999E-3</v>
          </cell>
          <cell r="G73">
            <v>1.8600000000000001E-3</v>
          </cell>
        </row>
        <row r="74">
          <cell r="D74">
            <v>1.8629999999999999E-3</v>
          </cell>
          <cell r="G74">
            <v>1.8600000000000001E-3</v>
          </cell>
        </row>
        <row r="75">
          <cell r="D75">
            <v>1.8629999999999999E-3</v>
          </cell>
          <cell r="G75">
            <v>1.8600000000000001E-3</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Q42"/>
  <sheetViews>
    <sheetView tabSelected="1" zoomScale="115" zoomScaleNormal="115" workbookViewId="0">
      <pane ySplit="7" topLeftCell="A13" activePane="bottomLeft" state="frozen"/>
      <selection pane="bottomLeft" activeCell="A15" sqref="A15"/>
    </sheetView>
  </sheetViews>
  <sheetFormatPr baseColWidth="10" defaultRowHeight="12.5" x14ac:dyDescent="0.25"/>
  <cols>
    <col min="1" max="1" width="24.1796875" customWidth="1"/>
    <col min="2" max="2" width="12.36328125" customWidth="1"/>
    <col min="3" max="3" width="11.08984375" customWidth="1"/>
    <col min="4" max="4" width="5.1796875" customWidth="1"/>
    <col min="5" max="5" width="15.453125" customWidth="1"/>
    <col min="6" max="6" width="7.453125" customWidth="1"/>
    <col min="7" max="7" width="10.6328125" hidden="1" customWidth="1"/>
    <col min="8" max="8" width="15.54296875" customWidth="1"/>
    <col min="9" max="10" width="10.6328125" customWidth="1"/>
    <col min="12" max="12" width="12.453125" bestFit="1" customWidth="1"/>
    <col min="14" max="16" width="11.54296875" customWidth="1"/>
  </cols>
  <sheetData>
    <row r="1" spans="1:17" x14ac:dyDescent="0.25">
      <c r="H1" s="1"/>
      <c r="I1" s="2"/>
    </row>
    <row r="2" spans="1:17" ht="13" x14ac:dyDescent="0.3">
      <c r="E2" s="26"/>
      <c r="H2" s="1"/>
      <c r="I2" s="2"/>
    </row>
    <row r="3" spans="1:17" ht="14.5" x14ac:dyDescent="0.35">
      <c r="A3" s="3"/>
      <c r="E3" s="26"/>
      <c r="H3" s="1"/>
      <c r="I3" s="2"/>
    </row>
    <row r="4" spans="1:17" ht="14.5" x14ac:dyDescent="0.35">
      <c r="A4" s="3"/>
      <c r="H4" s="1"/>
      <c r="I4" s="2"/>
    </row>
    <row r="5" spans="1:17" ht="14.4" customHeight="1" x14ac:dyDescent="0.35">
      <c r="A5" s="3"/>
      <c r="E5" s="223"/>
      <c r="F5" s="223"/>
      <c r="G5" s="223"/>
      <c r="H5" s="223"/>
      <c r="I5" s="223"/>
      <c r="J5" s="223"/>
    </row>
    <row r="6" spans="1:17" ht="14.4" customHeight="1" x14ac:dyDescent="0.35">
      <c r="A6" s="3"/>
      <c r="E6" s="223"/>
      <c r="F6" s="223"/>
      <c r="G6" s="223"/>
      <c r="H6" s="223"/>
      <c r="I6" s="223"/>
      <c r="J6" s="223"/>
    </row>
    <row r="7" spans="1:17" s="7" customFormat="1" ht="13.5" thickBot="1" x14ac:dyDescent="0.35">
      <c r="A7" s="4" t="s">
        <v>190</v>
      </c>
      <c r="B7" s="4"/>
      <c r="C7" s="4"/>
      <c r="D7" s="4"/>
      <c r="E7" s="4"/>
      <c r="F7" s="4"/>
      <c r="G7" s="4"/>
      <c r="H7" s="6"/>
      <c r="I7" s="5"/>
      <c r="J7" s="12" t="s">
        <v>272</v>
      </c>
    </row>
    <row r="8" spans="1:17" s="7" customFormat="1" ht="13" x14ac:dyDescent="0.3">
      <c r="H8" s="29"/>
      <c r="I8" s="30"/>
      <c r="J8" s="31"/>
    </row>
    <row r="9" spans="1:17" s="7" customFormat="1" ht="13.5" thickBot="1" x14ac:dyDescent="0.35">
      <c r="I9" s="11" t="s">
        <v>110</v>
      </c>
    </row>
    <row r="10" spans="1:17" s="7" customFormat="1" ht="15" thickBot="1" x14ac:dyDescent="0.35">
      <c r="A10" s="77" t="s">
        <v>77</v>
      </c>
      <c r="B10" s="9"/>
      <c r="C10" s="10"/>
      <c r="H10" s="78" t="s">
        <v>40</v>
      </c>
      <c r="I10" s="51"/>
      <c r="J10" s="31"/>
      <c r="N10" s="13"/>
      <c r="O10" s="13"/>
      <c r="P10" s="13"/>
      <c r="Q10"/>
    </row>
    <row r="11" spans="1:17" s="7" customFormat="1" ht="13" x14ac:dyDescent="0.3">
      <c r="A11" s="27" t="s">
        <v>45</v>
      </c>
      <c r="B11" s="32">
        <v>24</v>
      </c>
      <c r="C11" s="14" t="s">
        <v>46</v>
      </c>
      <c r="D11" s="11" t="s">
        <v>59</v>
      </c>
      <c r="H11" s="21" t="s">
        <v>41</v>
      </c>
      <c r="I11" s="173" t="s">
        <v>179</v>
      </c>
      <c r="J11"/>
      <c r="L11" s="13"/>
      <c r="M11"/>
      <c r="N11"/>
      <c r="O11"/>
    </row>
    <row r="12" spans="1:17" ht="13.5" thickBot="1" x14ac:dyDescent="0.35">
      <c r="A12" s="22" t="s">
        <v>47</v>
      </c>
      <c r="B12" s="33">
        <v>30</v>
      </c>
      <c r="C12" s="28" t="s">
        <v>48</v>
      </c>
      <c r="D12" s="11" t="s">
        <v>60</v>
      </c>
      <c r="E12" s="7"/>
      <c r="F12" s="7"/>
      <c r="H12" s="21" t="s">
        <v>42</v>
      </c>
      <c r="I12" s="50">
        <v>0.1</v>
      </c>
      <c r="J12" s="24"/>
      <c r="M12" s="13"/>
    </row>
    <row r="13" spans="1:17" ht="13.5" thickBot="1" x14ac:dyDescent="0.35">
      <c r="B13" s="26" t="str">
        <f>IF(OR(B11=48,B11=24),"Note: this value does not comply with EN 54"," ")</f>
        <v>Note: this value does not comply with EN 54</v>
      </c>
      <c r="F13" s="25"/>
      <c r="H13" s="21" t="s">
        <v>43</v>
      </c>
      <c r="I13" s="50">
        <v>1</v>
      </c>
      <c r="M13" s="13"/>
    </row>
    <row r="14" spans="1:17" ht="13.5" thickBot="1" x14ac:dyDescent="0.35">
      <c r="A14" s="77" t="s">
        <v>122</v>
      </c>
      <c r="B14" s="9"/>
      <c r="C14" s="10"/>
      <c r="H14" s="22" t="s">
        <v>44</v>
      </c>
      <c r="I14" s="52">
        <v>1</v>
      </c>
      <c r="L14" s="13"/>
    </row>
    <row r="15" spans="1:17" ht="13" x14ac:dyDescent="0.3">
      <c r="A15" s="83" t="s">
        <v>99</v>
      </c>
      <c r="B15" s="81">
        <f>IF(A15&lt;&gt;" ",VLOOKUP(A15,Datos!B4:D17,2,0),0)</f>
        <v>0.16</v>
      </c>
      <c r="C15" s="82">
        <f>IF(A15&lt;&gt;" ",VLOOKUP(A15,Datos!B4:D17,3,0),0)</f>
        <v>0.2</v>
      </c>
      <c r="D15" s="11" t="s">
        <v>78</v>
      </c>
      <c r="L15" s="13"/>
    </row>
    <row r="16" spans="1:17" ht="13.5" thickBot="1" x14ac:dyDescent="0.35">
      <c r="A16" s="176" t="s">
        <v>197</v>
      </c>
      <c r="B16" s="177">
        <f>IFERROR(VLOOKUP(A16,Datos!F4:H7,2,0),0)</f>
        <v>12</v>
      </c>
      <c r="C16" s="178">
        <f>IFERROR(VLOOKUP(A16,Datos!F4:H7,3,0),0)</f>
        <v>12</v>
      </c>
      <c r="D16" s="11" t="s">
        <v>49</v>
      </c>
      <c r="L16" s="13"/>
    </row>
    <row r="17" spans="1:16" ht="13.5" thickBot="1" x14ac:dyDescent="0.35">
      <c r="A17" s="184"/>
      <c r="B17" s="185" t="s">
        <v>38</v>
      </c>
      <c r="C17" s="186" t="s">
        <v>39</v>
      </c>
      <c r="D17" s="11"/>
      <c r="I17" s="13"/>
      <c r="J17" s="13"/>
      <c r="L17" s="13"/>
      <c r="N17" s="13"/>
    </row>
    <row r="18" spans="1:16" ht="13" x14ac:dyDescent="0.3">
      <c r="A18" s="64" t="s">
        <v>120</v>
      </c>
      <c r="B18" s="182"/>
      <c r="C18" s="183"/>
      <c r="D18" s="79"/>
      <c r="E18" s="26" t="str">
        <f>IF(C18&gt;0.5,"Warning: 500mA maximum current exceeded. External 24V needed","")</f>
        <v/>
      </c>
      <c r="I18" s="13"/>
      <c r="J18" s="13"/>
      <c r="M18" s="13"/>
      <c r="N18" s="13"/>
      <c r="O18" s="13"/>
      <c r="P18" s="13"/>
    </row>
    <row r="19" spans="1:16" ht="13" x14ac:dyDescent="0.3">
      <c r="A19" s="64" t="s">
        <v>180</v>
      </c>
      <c r="B19" s="174"/>
      <c r="C19" s="175"/>
      <c r="E19" s="26" t="str">
        <f>IF(C19&gt;0.5,"Warning: 500mA maximum current exceeded. External 24V needed","")</f>
        <v/>
      </c>
      <c r="M19" s="13"/>
      <c r="N19" s="13"/>
      <c r="O19" s="13"/>
      <c r="P19" s="13"/>
    </row>
    <row r="20" spans="1:16" ht="13.5" thickBot="1" x14ac:dyDescent="0.35">
      <c r="A20" s="179" t="s">
        <v>181</v>
      </c>
      <c r="B20" s="180"/>
      <c r="C20" s="181"/>
      <c r="E20" s="26"/>
      <c r="M20" s="13"/>
      <c r="N20" s="13"/>
      <c r="O20" s="13"/>
      <c r="P20" s="13"/>
    </row>
    <row r="21" spans="1:16" ht="13.5" thickBot="1" x14ac:dyDescent="0.35">
      <c r="A21" s="27" t="s">
        <v>53</v>
      </c>
      <c r="B21" s="53">
        <f>B15+B18+B19+B20+B38+H36</f>
        <v>0.16</v>
      </c>
      <c r="C21" s="14" t="s">
        <v>9</v>
      </c>
      <c r="E21" s="94" t="s">
        <v>126</v>
      </c>
      <c r="H21" s="8" t="s">
        <v>123</v>
      </c>
      <c r="I21" s="9"/>
      <c r="J21" s="9"/>
      <c r="K21" s="67" t="s">
        <v>19</v>
      </c>
      <c r="O21" s="13"/>
    </row>
    <row r="22" spans="1:16" ht="13.5" thickBot="1" x14ac:dyDescent="0.35">
      <c r="A22" s="22" t="s">
        <v>54</v>
      </c>
      <c r="B22" s="54">
        <f>C38+C15+C18+C19+C20+H36</f>
        <v>0.2</v>
      </c>
      <c r="C22" s="28" t="s">
        <v>9</v>
      </c>
      <c r="E22" s="149">
        <f>B23</f>
        <v>4.9249999999999998</v>
      </c>
      <c r="H22" s="71" t="s">
        <v>125</v>
      </c>
      <c r="I22" s="201" t="s">
        <v>198</v>
      </c>
      <c r="J22" s="72" t="s">
        <v>118</v>
      </c>
      <c r="K22" s="73" t="s">
        <v>119</v>
      </c>
      <c r="O22" s="13"/>
    </row>
    <row r="23" spans="1:16" ht="13.5" thickBot="1" x14ac:dyDescent="0.35">
      <c r="A23" s="150" t="s">
        <v>55</v>
      </c>
      <c r="B23" s="55">
        <f>1.25*C23</f>
        <v>4.9249999999999998</v>
      </c>
      <c r="C23" s="65">
        <f>(B21*B11)+(B22*(B12/60))</f>
        <v>3.94</v>
      </c>
      <c r="D23" s="93">
        <f>ROUNDUP(B23,1)</f>
        <v>5</v>
      </c>
      <c r="E23" s="7"/>
      <c r="H23" s="68">
        <f>((7.5/1.25)-($B$22*($B$12/60)))/$B$21</f>
        <v>36.875</v>
      </c>
      <c r="I23" s="69">
        <f>((12/1.25)-($B$22*($B$12/60)))/$B$21</f>
        <v>59.375</v>
      </c>
      <c r="J23" s="69">
        <f>((18/1.25)-($B$22*($B$12/60)))/$B$21</f>
        <v>89.375</v>
      </c>
      <c r="K23" s="70">
        <f>((24/1.25)-($B$22*($B$12/60)))/$B$21</f>
        <v>119.37499999999999</v>
      </c>
      <c r="O23" s="13"/>
    </row>
    <row r="24" spans="1:16" ht="13" x14ac:dyDescent="0.3">
      <c r="A24" s="7" t="s">
        <v>56</v>
      </c>
      <c r="B24" s="56" t="str">
        <f>IF(B23&lt;=$C$16,"OK","Need battery:")</f>
        <v>OK</v>
      </c>
      <c r="C24" s="26" t="str">
        <f>IF(B24&lt;&gt;"OK",INDEX(Datos!J4:J7,'System Calculation'!D24)," ")</f>
        <v xml:space="preserve"> </v>
      </c>
      <c r="D24" s="150">
        <f>MATCH(D23,Datos!I4:I7,-1)</f>
        <v>4</v>
      </c>
      <c r="E24" s="169"/>
      <c r="H24" s="80" t="s">
        <v>195</v>
      </c>
    </row>
    <row r="25" spans="1:16" ht="13" x14ac:dyDescent="0.3">
      <c r="B25" s="26" t="b">
        <f>IF(E22&gt;24,"Need external power supply:")</f>
        <v>0</v>
      </c>
      <c r="E25" s="26" t="str">
        <f>IF($B$25&lt;&gt;FALSE,Datos!I35," ")</f>
        <v xml:space="preserve"> </v>
      </c>
      <c r="H25" s="80" t="s">
        <v>199</v>
      </c>
    </row>
    <row r="26" spans="1:16" s="7" customFormat="1" ht="13" x14ac:dyDescent="0.3">
      <c r="B26" s="26"/>
      <c r="E26" s="26"/>
      <c r="F26" s="26"/>
      <c r="G26" s="26"/>
      <c r="H26" s="172"/>
      <c r="I26" s="26"/>
      <c r="J26" s="26"/>
      <c r="K26" s="26"/>
    </row>
    <row r="27" spans="1:16" s="7" customFormat="1" ht="13" x14ac:dyDescent="0.3">
      <c r="B27" s="26"/>
      <c r="H27" s="29"/>
      <c r="I27" s="30"/>
      <c r="J27" s="31"/>
    </row>
    <row r="28" spans="1:16" ht="13.5" thickBot="1" x14ac:dyDescent="0.35">
      <c r="F28" s="11" t="s">
        <v>124</v>
      </c>
    </row>
    <row r="29" spans="1:16" s="7" customFormat="1" ht="13.5" thickBot="1" x14ac:dyDescent="0.35">
      <c r="A29" s="76" t="s">
        <v>62</v>
      </c>
      <c r="B29" s="74" t="s">
        <v>38</v>
      </c>
      <c r="C29" s="75" t="s">
        <v>39</v>
      </c>
      <c r="E29" s="86" t="s">
        <v>111</v>
      </c>
      <c r="F29" s="84" t="s">
        <v>1</v>
      </c>
      <c r="G29" s="84" t="s">
        <v>38</v>
      </c>
      <c r="H29" s="87" t="s">
        <v>38</v>
      </c>
    </row>
    <row r="30" spans="1:16" ht="13" thickBot="1" x14ac:dyDescent="0.3">
      <c r="A30" s="17" t="s">
        <v>63</v>
      </c>
      <c r="B30" s="197">
        <f>'SC_Loop 1'!$E$76</f>
        <v>0</v>
      </c>
      <c r="C30" s="198">
        <f>'SC_Loop 1'!$H$76</f>
        <v>0</v>
      </c>
      <c r="E30" s="66" t="s">
        <v>112</v>
      </c>
      <c r="F30" s="19">
        <v>0</v>
      </c>
      <c r="G30" s="53">
        <v>0.05</v>
      </c>
      <c r="H30" s="58">
        <f t="shared" ref="H30:H35" si="0">F30*G30</f>
        <v>0</v>
      </c>
    </row>
    <row r="31" spans="1:16" ht="13" thickBot="1" x14ac:dyDescent="0.3">
      <c r="A31" s="18" t="s">
        <v>64</v>
      </c>
      <c r="B31" s="57">
        <f>'SC_Loop 2'!$E$76</f>
        <v>0</v>
      </c>
      <c r="C31" s="58">
        <f>'SC_Loop 2'!$H$76</f>
        <v>0</v>
      </c>
      <c r="D31" s="13"/>
      <c r="E31" s="66" t="s">
        <v>113</v>
      </c>
      <c r="F31" s="19">
        <v>0</v>
      </c>
      <c r="G31" s="53">
        <v>0.05</v>
      </c>
      <c r="H31" s="58">
        <f t="shared" si="0"/>
        <v>0</v>
      </c>
    </row>
    <row r="32" spans="1:16" ht="13" thickBot="1" x14ac:dyDescent="0.3">
      <c r="A32" s="18" t="s">
        <v>65</v>
      </c>
      <c r="B32" s="57">
        <f>'SC_Loop 3'!$E$76</f>
        <v>0</v>
      </c>
      <c r="C32" s="58">
        <f>'SC_Loop 3'!$H$76</f>
        <v>0</v>
      </c>
      <c r="E32" s="66" t="s">
        <v>114</v>
      </c>
      <c r="F32" s="19">
        <v>0</v>
      </c>
      <c r="G32" s="53">
        <v>0.05</v>
      </c>
      <c r="H32" s="58">
        <f t="shared" si="0"/>
        <v>0</v>
      </c>
    </row>
    <row r="33" spans="1:10" ht="13" thickBot="1" x14ac:dyDescent="0.3">
      <c r="A33" s="18" t="s">
        <v>66</v>
      </c>
      <c r="B33" s="57">
        <f>'SC_Loop 4'!$E$76</f>
        <v>0</v>
      </c>
      <c r="C33" s="58">
        <f>'SC_Loop 4'!$H$76</f>
        <v>0</v>
      </c>
      <c r="E33" s="66" t="s">
        <v>115</v>
      </c>
      <c r="F33" s="19">
        <v>0</v>
      </c>
      <c r="G33" s="53">
        <v>0.05</v>
      </c>
      <c r="H33" s="58">
        <f t="shared" si="0"/>
        <v>0</v>
      </c>
    </row>
    <row r="34" spans="1:10" ht="13" thickBot="1" x14ac:dyDescent="0.3">
      <c r="A34" s="18" t="s">
        <v>67</v>
      </c>
      <c r="B34" s="57">
        <f>'SC_Loop 5'!$E$76</f>
        <v>0</v>
      </c>
      <c r="C34" s="58">
        <f>'SC_Loop 5'!$H$76</f>
        <v>0</v>
      </c>
      <c r="E34" s="66" t="s">
        <v>116</v>
      </c>
      <c r="F34" s="19">
        <v>0</v>
      </c>
      <c r="G34" s="53">
        <v>0.05</v>
      </c>
      <c r="H34" s="58">
        <f t="shared" si="0"/>
        <v>0</v>
      </c>
    </row>
    <row r="35" spans="1:10" ht="13" thickBot="1" x14ac:dyDescent="0.3">
      <c r="A35" s="18" t="s">
        <v>68</v>
      </c>
      <c r="B35" s="57">
        <f>'SC_Loop 6'!$E$76</f>
        <v>0</v>
      </c>
      <c r="C35" s="58">
        <f>'SC_Loop 6'!$H$76</f>
        <v>0</v>
      </c>
      <c r="E35" s="91" t="s">
        <v>117</v>
      </c>
      <c r="F35" s="23">
        <v>0</v>
      </c>
      <c r="G35" s="53">
        <v>0.05</v>
      </c>
      <c r="H35" s="92">
        <f t="shared" si="0"/>
        <v>0</v>
      </c>
    </row>
    <row r="36" spans="1:10" ht="13.5" thickBot="1" x14ac:dyDescent="0.35">
      <c r="A36" s="18" t="s">
        <v>69</v>
      </c>
      <c r="B36" s="57">
        <f>'SC_Loop 7'!$E$76</f>
        <v>0</v>
      </c>
      <c r="C36" s="58">
        <f>'SC_Loop 7'!$H$76</f>
        <v>0</v>
      </c>
      <c r="E36" s="88"/>
      <c r="F36" s="89">
        <f>SUM(F30:F35)</f>
        <v>0</v>
      </c>
      <c r="G36" s="85"/>
      <c r="H36" s="90">
        <f>SUM(H30:H35)</f>
        <v>0</v>
      </c>
    </row>
    <row r="37" spans="1:10" ht="13.5" thickBot="1" x14ac:dyDescent="0.35">
      <c r="A37" s="18" t="s">
        <v>70</v>
      </c>
      <c r="B37" s="218">
        <f>'SC_Loop 8'!$E$76</f>
        <v>0</v>
      </c>
      <c r="C37" s="219">
        <f>'SC_Loop 8'!$H$76</f>
        <v>0</v>
      </c>
      <c r="E37" s="26"/>
      <c r="F37" s="26" t="str">
        <f>IF(F36&gt;1,"Warning: maximum 1 communication card in the control panel","")</f>
        <v/>
      </c>
    </row>
    <row r="38" spans="1:10" s="7" customFormat="1" ht="13.5" thickBot="1" x14ac:dyDescent="0.35">
      <c r="A38" s="15" t="s">
        <v>8</v>
      </c>
      <c r="B38" s="59">
        <f>SUM(B30:B37)</f>
        <v>0</v>
      </c>
      <c r="C38" s="60">
        <f>SUM(C30:C37)</f>
        <v>0</v>
      </c>
      <c r="E38"/>
      <c r="F38"/>
      <c r="G38"/>
      <c r="H38"/>
    </row>
    <row r="39" spans="1:10" ht="14.4" customHeight="1" x14ac:dyDescent="0.25"/>
    <row r="40" spans="1:10" ht="14.4" customHeight="1" x14ac:dyDescent="0.25">
      <c r="E40" s="148"/>
      <c r="F40" s="148"/>
      <c r="G40" s="148"/>
      <c r="H40" s="148"/>
    </row>
    <row r="41" spans="1:10" ht="13" x14ac:dyDescent="0.25">
      <c r="E41" s="187"/>
      <c r="F41" s="187"/>
      <c r="G41" s="187"/>
      <c r="H41" s="187"/>
    </row>
    <row r="42" spans="1:10" ht="27" customHeight="1" x14ac:dyDescent="0.25">
      <c r="A42" s="224" t="s">
        <v>13</v>
      </c>
      <c r="B42" s="224"/>
      <c r="C42" s="224"/>
      <c r="D42" s="224"/>
      <c r="E42" s="224"/>
      <c r="F42" s="224"/>
      <c r="G42" s="224"/>
      <c r="H42" s="224"/>
      <c r="I42" s="224"/>
      <c r="J42" s="224"/>
    </row>
  </sheetData>
  <sheetProtection algorithmName="SHA-512" hashValue="A092x0HSpgQKoFX6i4yRdsZHae/uvwi/IK9RRyqAHiWeRLgJV7EgAZy/tNmzd9s5Pd85NMx7a30XnMpMc+FdDw==" saltValue="echiZ/2hlnW756JqfcCscw==" spinCount="100000" sheet="1" sort="0" autoFilter="0" pivotTables="0"/>
  <mergeCells count="1">
    <mergeCell ref="A42:J42"/>
  </mergeCells>
  <phoneticPr fontId="0" type="noConversion"/>
  <conditionalFormatting sqref="B21:B27">
    <cfRule type="containsErrors" dxfId="146" priority="3">
      <formula>ISERROR(B21)</formula>
    </cfRule>
  </conditionalFormatting>
  <conditionalFormatting sqref="B24">
    <cfRule type="beginsWith" dxfId="145" priority="11" operator="beginsWith" text="Need">
      <formula>LEFT(B24,LEN("Need"))="Need"</formula>
    </cfRule>
    <cfRule type="containsText" dxfId="144" priority="12" operator="containsText" text="OK">
      <formula>NOT(ISERROR(SEARCH("OK",B24)))</formula>
    </cfRule>
  </conditionalFormatting>
  <conditionalFormatting sqref="B25">
    <cfRule type="containsText" dxfId="143" priority="8" operator="containsText" text="FALSO">
      <formula>NOT(ISERROR(SEARCH("FALSO",B25)))</formula>
    </cfRule>
  </conditionalFormatting>
  <conditionalFormatting sqref="C24:D24">
    <cfRule type="containsErrors" dxfId="142" priority="6">
      <formula>ISERROR(C24)</formula>
    </cfRule>
  </conditionalFormatting>
  <conditionalFormatting sqref="C23:E26">
    <cfRule type="containsErrors" dxfId="141" priority="2">
      <formula>ISERROR(C23)</formula>
    </cfRule>
  </conditionalFormatting>
  <conditionalFormatting sqref="E22">
    <cfRule type="containsErrors" dxfId="140" priority="1">
      <formula>ISERROR(E22)</formula>
    </cfRule>
  </conditionalFormatting>
  <conditionalFormatting sqref="E26">
    <cfRule type="containsErrors" dxfId="139" priority="5">
      <formula>ISERROR(E26)</formula>
    </cfRule>
  </conditionalFormatting>
  <conditionalFormatting sqref="H23:K23">
    <cfRule type="containsErrors" dxfId="138" priority="7">
      <formula>ISERROR(H23)</formula>
    </cfRule>
    <cfRule type="cellIs" dxfId="137" priority="9" operator="lessThan">
      <formula>$B$11</formula>
    </cfRule>
  </conditionalFormatting>
  <conditionalFormatting sqref="K26">
    <cfRule type="containsErrors" dxfId="136" priority="4">
      <formula>ISERROR(K26)</formula>
    </cfRule>
  </conditionalFormatting>
  <dataValidations xWindow="184" yWindow="607" count="3">
    <dataValidation type="list" allowBlank="1" showInputMessage="1" showErrorMessage="1" promptTitle="Control panel batteries list" prompt="If control panel is changed, select the batteries according to new panel" sqref="A16" xr:uid="{D4BEC6C3-5D66-414A-B1B6-5009C778E994}">
      <formula1>INDIRECT($A$15)</formula1>
    </dataValidation>
    <dataValidation type="list" allowBlank="1" showInputMessage="1" showErrorMessage="1" prompt="If control panel is changed, select the batterie according to new panel" sqref="A15" xr:uid="{A4C2F7A5-8AD8-411C-B2BD-B47F178F91D0}">
      <formula1>Centrales</formula1>
    </dataValidation>
    <dataValidation allowBlank="1" showInputMessage="1" showErrorMessage="1" promptTitle="Control panel batteries list" prompt="If control panel is changed, select the batteries according to new panel" sqref="A17" xr:uid="{30903E37-0F9F-4E1D-904D-B74C5D2DB9EE}"/>
  </dataValidations>
  <pageMargins left="0.78740157480314965" right="0.39370078740157483" top="0.39370078740157483" bottom="0.39370078740157483" header="0" footer="0"/>
  <pageSetup paperSize="9" scale="87" orientation="portrait" horizontalDpi="1200" verticalDpi="1200" r:id="rId1"/>
  <headerFooter alignWithMargins="0"/>
  <drawing r:id="rId2"/>
  <extLst>
    <ext xmlns:x14="http://schemas.microsoft.com/office/spreadsheetml/2009/9/main" uri="{CCE6A557-97BC-4b89-ADB6-D9C93CAAB3DF}">
      <x14:dataValidations xmlns:xm="http://schemas.microsoft.com/office/excel/2006/main" xWindow="184" yWindow="607" count="3">
        <x14:dataValidation type="list" allowBlank="1" showInputMessage="1" showErrorMessage="1" xr:uid="{BC28AFA3-4724-4C4A-87D5-598D22F9CD91}">
          <x14:formula1>
            <xm:f>Datos!$F$12:$F$13</xm:f>
          </x14:formula1>
          <xm:sqref>F30:F35</xm:sqref>
        </x14:dataValidation>
        <x14:dataValidation type="list" allowBlank="1" showInputMessage="1" showErrorMessage="1" xr:uid="{32D5377E-EF7D-471D-971A-0C8C3E32D587}">
          <x14:formula1>
            <xm:f>Datos!$D$21:$D$24</xm:f>
          </x14:formula1>
          <xm:sqref>B12</xm:sqref>
        </x14:dataValidation>
        <x14:dataValidation type="list" allowBlank="1" showInputMessage="1" showErrorMessage="1" xr:uid="{30572B37-9CE0-4496-9299-509A6D22F983}">
          <x14:formula1>
            <xm:f>Datos!$C$21:$C$25</xm:f>
          </x14:formula1>
          <xm:sqref>B11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DF71-A6DE-426C-B28B-FA8CD0CC25A1}">
  <sheetPr codeName="Hoja10">
    <pageSetUpPr fitToPage="1"/>
  </sheetPr>
  <dimension ref="A1:O110"/>
  <sheetViews>
    <sheetView zoomScale="120" zoomScaleNormal="120" workbookViewId="0">
      <pane ySplit="14" topLeftCell="A15" activePane="bottomLeft" state="frozen"/>
      <selection activeCell="C15" sqref="C15"/>
      <selection pane="bottomLeft" activeCell="C15" sqref="C15"/>
    </sheetView>
  </sheetViews>
  <sheetFormatPr baseColWidth="10" defaultRowHeight="12.5" x14ac:dyDescent="0.25"/>
  <cols>
    <col min="1" max="1" width="31.1796875" customWidth="1"/>
    <col min="2" max="2" width="18.90625" customWidth="1"/>
    <col min="3" max="3" width="10.6328125" customWidth="1"/>
    <col min="4" max="4" width="11.08984375" hidden="1" customWidth="1"/>
    <col min="5" max="5" width="12.81640625" bestFit="1" customWidth="1"/>
    <col min="6" max="7" width="10.6328125" hidden="1" customWidth="1"/>
    <col min="8" max="8" width="10.54296875" bestFit="1" customWidth="1"/>
    <col min="9" max="9" width="10.6328125" customWidth="1"/>
    <col min="10" max="10" width="5.54296875" bestFit="1" customWidth="1"/>
    <col min="11" max="11" width="7" customWidth="1"/>
    <col min="12" max="12" width="6.453125" customWidth="1"/>
    <col min="13" max="13" width="6.54296875" customWidth="1"/>
    <col min="15" max="17" width="11.54296875" customWidth="1"/>
  </cols>
  <sheetData>
    <row r="1" spans="1:15" x14ac:dyDescent="0.25">
      <c r="I1" s="1"/>
      <c r="J1" s="2"/>
      <c r="K1" s="2"/>
      <c r="L1" s="2"/>
    </row>
    <row r="2" spans="1:15" x14ac:dyDescent="0.25">
      <c r="I2" s="1"/>
      <c r="J2" s="2"/>
      <c r="K2" s="2"/>
      <c r="L2" s="2"/>
    </row>
    <row r="3" spans="1:15" ht="14.5" x14ac:dyDescent="0.35">
      <c r="A3" s="3"/>
      <c r="B3" s="3"/>
      <c r="I3" s="1"/>
      <c r="J3" s="2"/>
      <c r="K3" s="2"/>
      <c r="L3" s="2"/>
    </row>
    <row r="4" spans="1:15" ht="14.5" x14ac:dyDescent="0.35">
      <c r="A4" s="3"/>
      <c r="B4" s="3"/>
      <c r="I4" s="1"/>
      <c r="J4" s="2"/>
      <c r="K4" s="2"/>
      <c r="L4" s="2"/>
    </row>
    <row r="5" spans="1:15" s="7" customFormat="1" ht="13.5" thickBot="1" x14ac:dyDescent="0.35">
      <c r="A5" s="4" t="str">
        <f>'System Calculation'!A7</f>
        <v>SYSTEM CALCULATOR DETNOV CAD-150 EXCEL TOOL</v>
      </c>
      <c r="B5" s="4"/>
      <c r="C5" s="4"/>
      <c r="D5" s="4"/>
      <c r="E5" s="4"/>
      <c r="F5" s="4"/>
      <c r="G5" s="4"/>
      <c r="H5" s="4"/>
      <c r="I5" s="6"/>
      <c r="J5" s="5"/>
      <c r="K5" s="5"/>
      <c r="L5" s="5"/>
      <c r="M5" s="12" t="str">
        <f>'System Calculation'!J7</f>
        <v>SC 116 en 2019 i</v>
      </c>
    </row>
    <row r="6" spans="1:15" s="7" customFormat="1" ht="13.5" thickBot="1" x14ac:dyDescent="0.35">
      <c r="I6" s="29"/>
      <c r="J6" s="30"/>
      <c r="K6" s="30"/>
      <c r="L6" s="30"/>
      <c r="M6" s="31"/>
    </row>
    <row r="7" spans="1:15" s="7" customFormat="1" ht="13.5" thickBot="1" x14ac:dyDescent="0.35">
      <c r="A7" s="15" t="s">
        <v>62</v>
      </c>
      <c r="B7" s="99"/>
      <c r="C7" s="100"/>
      <c r="I7" s="29"/>
      <c r="K7" s="226" t="s">
        <v>133</v>
      </c>
      <c r="L7" s="230"/>
      <c r="M7" s="118"/>
      <c r="N7" s="31"/>
    </row>
    <row r="8" spans="1:15" s="7" customFormat="1" ht="13.5" thickBot="1" x14ac:dyDescent="0.35">
      <c r="A8" s="96" t="s">
        <v>128</v>
      </c>
      <c r="B8" s="203">
        <v>1.5</v>
      </c>
      <c r="C8" s="222">
        <f>VLOOKUP($B$8,Datos!$F$16:$G$21,2,FALSE)</f>
        <v>16</v>
      </c>
      <c r="D8" s="207"/>
      <c r="E8" s="207"/>
      <c r="F8" s="204"/>
      <c r="G8" s="13"/>
      <c r="H8" s="231" t="str">
        <f>IF(B9&gt;3500,"Error: The Maximum Lenght in the Line is 3500 m","")</f>
        <v/>
      </c>
      <c r="I8" s="231"/>
      <c r="J8" s="232"/>
      <c r="K8" s="226" t="s">
        <v>134</v>
      </c>
      <c r="L8" s="227"/>
      <c r="M8" s="138" t="str">
        <f>IF($B$84&gt;0.4,"FAIL",IF($B$104&gt;=$B$84,"OK","FAIL"))</f>
        <v>OK</v>
      </c>
      <c r="O8" s="130" t="str">
        <f>IF($B$84&gt;0.4,"Error: The Loop Current is upper that Maximum Current allowed",IF($B$104&lt;$B$84,"Error: The Loop Current is upper that Maximum Current allowed",""))</f>
        <v/>
      </c>
    </row>
    <row r="9" spans="1:15" s="7" customFormat="1" ht="13.5" thickBot="1" x14ac:dyDescent="0.35">
      <c r="A9" s="22" t="s">
        <v>129</v>
      </c>
      <c r="B9" s="101">
        <v>1000</v>
      </c>
      <c r="C9" s="28" t="s">
        <v>131</v>
      </c>
      <c r="D9" s="13"/>
      <c r="E9" s="13"/>
      <c r="F9" s="13"/>
      <c r="G9" s="13"/>
      <c r="H9" s="231"/>
      <c r="I9" s="231"/>
      <c r="J9" s="232"/>
      <c r="K9" s="228" t="s">
        <v>135</v>
      </c>
      <c r="L9" s="229"/>
      <c r="M9" s="137" t="str">
        <f>IF($M$76&lt;=250,"OK","FAIL")</f>
        <v>OK</v>
      </c>
      <c r="O9" s="130" t="str">
        <f>IF($M$76&gt;250,"Error: The Loop cannot contain more than 250 addresses","")</f>
        <v/>
      </c>
    </row>
    <row r="10" spans="1:15" s="7" customFormat="1" ht="13" x14ac:dyDescent="0.3">
      <c r="A10" s="129" t="s">
        <v>149</v>
      </c>
      <c r="B10" s="129"/>
      <c r="I10" s="29"/>
      <c r="J10" s="30"/>
      <c r="K10" s="30"/>
      <c r="L10" s="30"/>
      <c r="M10" s="31"/>
    </row>
    <row r="11" spans="1:15" s="7" customFormat="1" ht="13" x14ac:dyDescent="0.3">
      <c r="A11" s="129"/>
      <c r="B11" s="129"/>
      <c r="I11" s="29"/>
      <c r="J11" s="30"/>
      <c r="K11" s="30"/>
      <c r="L11" s="30"/>
      <c r="M11" s="31"/>
    </row>
    <row r="12" spans="1:15" ht="13.5" thickBot="1" x14ac:dyDescent="0.35">
      <c r="C12" s="11" t="s">
        <v>10</v>
      </c>
      <c r="D12" s="11" t="s">
        <v>10</v>
      </c>
    </row>
    <row r="13" spans="1:15" ht="13.5" thickBot="1" x14ac:dyDescent="0.35">
      <c r="A13" s="8" t="s">
        <v>178</v>
      </c>
      <c r="B13" s="9"/>
      <c r="C13" s="9"/>
      <c r="D13" s="9"/>
      <c r="E13" s="9"/>
      <c r="F13" s="9"/>
      <c r="G13" s="9"/>
      <c r="H13" s="9"/>
      <c r="I13" s="127"/>
      <c r="J13" s="127"/>
      <c r="K13" s="127"/>
      <c r="L13" s="127"/>
      <c r="M13" s="128"/>
    </row>
    <row r="14" spans="1:15" s="7" customFormat="1" ht="13.5" thickBot="1" x14ac:dyDescent="0.35">
      <c r="A14" s="215" t="s">
        <v>0</v>
      </c>
      <c r="B14" s="216" t="s">
        <v>223</v>
      </c>
      <c r="C14" s="217" t="s">
        <v>1</v>
      </c>
      <c r="D14" s="217" t="s">
        <v>38</v>
      </c>
      <c r="E14" s="217" t="s">
        <v>38</v>
      </c>
      <c r="F14" s="217" t="s">
        <v>109</v>
      </c>
      <c r="G14" s="217" t="s">
        <v>39</v>
      </c>
      <c r="H14" s="217" t="s">
        <v>39</v>
      </c>
      <c r="I14" s="99" t="s">
        <v>132</v>
      </c>
      <c r="J14" s="99" t="s">
        <v>145</v>
      </c>
      <c r="K14" s="99" t="s">
        <v>146</v>
      </c>
      <c r="L14" s="99" t="s">
        <v>147</v>
      </c>
      <c r="M14" s="100" t="s">
        <v>148</v>
      </c>
    </row>
    <row r="15" spans="1:15" ht="25" x14ac:dyDescent="0.25">
      <c r="A15" s="115" t="str">
        <f>'SC_Loop 1'!A15</f>
        <v>DOD-220A</v>
      </c>
      <c r="B15" s="208" t="str">
        <f>'SC_Loop 1'!B15</f>
        <v>Addressable smoke detector</v>
      </c>
      <c r="C15" s="97"/>
      <c r="D15" s="214">
        <f>'SC_Loop 1'!D15</f>
        <v>1.272E-4</v>
      </c>
      <c r="E15" s="116">
        <f>C15*D15</f>
        <v>0</v>
      </c>
      <c r="F15" s="200">
        <f>IF(C15&gt;10,10,C15)</f>
        <v>0</v>
      </c>
      <c r="G15" s="214">
        <f>'SC_Loop 1'!G15</f>
        <v>3.6099999999999999E-3</v>
      </c>
      <c r="H15" s="116">
        <f>F15*G15</f>
        <v>0</v>
      </c>
      <c r="I15" s="41"/>
      <c r="J15" s="41" t="str">
        <f t="shared" ref="J15:J27" si="0">IF(C15&lt;&gt;0,C15," ")</f>
        <v xml:space="preserve"> </v>
      </c>
      <c r="K15" s="41"/>
      <c r="L15" s="41"/>
      <c r="M15" s="117" t="str">
        <f>IF(J15&lt;&gt;0,J15," ")</f>
        <v xml:space="preserve"> </v>
      </c>
    </row>
    <row r="16" spans="1:15" ht="25" x14ac:dyDescent="0.25">
      <c r="A16" s="115" t="str">
        <f>'SC_Loop 1'!A16</f>
        <v>DOD-220A-I</v>
      </c>
      <c r="B16" s="208" t="str">
        <f>'SC_Loop 1'!B16</f>
        <v>Addressable smoke detector with isolator</v>
      </c>
      <c r="C16" s="97"/>
      <c r="D16" s="20">
        <f>'SC_Loop 1'!D16</f>
        <v>1.9580000000000002E-4</v>
      </c>
      <c r="E16" s="57">
        <f>C16*D16</f>
        <v>0</v>
      </c>
      <c r="F16" s="200">
        <f t="shared" ref="F16:F22" si="1">IF(C16&gt;10,10,C16)</f>
        <v>0</v>
      </c>
      <c r="G16" s="20">
        <f>'SC_Loop 1'!G16</f>
        <v>3.7400000000000003E-3</v>
      </c>
      <c r="H16" s="57">
        <f>F16*G16</f>
        <v>0</v>
      </c>
      <c r="I16" s="49"/>
      <c r="J16" s="49" t="str">
        <f t="shared" si="0"/>
        <v xml:space="preserve"> </v>
      </c>
      <c r="K16" s="49"/>
      <c r="L16" s="49"/>
      <c r="M16" s="106" t="str">
        <f>IF(J16&lt;&gt;0,J16," ")</f>
        <v xml:space="preserve"> </v>
      </c>
    </row>
    <row r="17" spans="1:13" ht="25" x14ac:dyDescent="0.25">
      <c r="A17" s="115" t="str">
        <f>'SC_Loop 1'!A17</f>
        <v>DOTD-230A</v>
      </c>
      <c r="B17" s="208" t="str">
        <f>'SC_Loop 1'!B17</f>
        <v>Addressable smoke and heat detector</v>
      </c>
      <c r="C17" s="97"/>
      <c r="D17" s="20">
        <f>'SC_Loop 1'!D17</f>
        <v>1.416E-4</v>
      </c>
      <c r="E17" s="57">
        <f t="shared" ref="E17:E75" si="2">C17*D17</f>
        <v>0</v>
      </c>
      <c r="F17" s="200">
        <f t="shared" si="1"/>
        <v>0</v>
      </c>
      <c r="G17" s="20">
        <f>'SC_Loop 1'!G17</f>
        <v>3.6000000000000003E-3</v>
      </c>
      <c r="H17" s="57">
        <f t="shared" ref="H17:H75" si="3">F17*G17</f>
        <v>0</v>
      </c>
      <c r="I17" s="49"/>
      <c r="J17" s="49" t="str">
        <f t="shared" si="0"/>
        <v xml:space="preserve"> </v>
      </c>
      <c r="K17" s="49"/>
      <c r="L17" s="49"/>
      <c r="M17" s="106" t="str">
        <f t="shared" ref="M17:M70" si="4">IF(J17&lt;&gt;0,J17," ")</f>
        <v xml:space="preserve"> </v>
      </c>
    </row>
    <row r="18" spans="1:13" ht="37.5" x14ac:dyDescent="0.25">
      <c r="A18" s="115" t="str">
        <f>'SC_Loop 1'!A18</f>
        <v>DOTD-230A-I</v>
      </c>
      <c r="B18" s="208" t="str">
        <f>'SC_Loop 1'!B18</f>
        <v>Addressable smoke and heat detector with isolator</v>
      </c>
      <c r="C18" s="97"/>
      <c r="D18" s="20">
        <f>'SC_Loop 1'!D18</f>
        <v>2.1239999999999999E-4</v>
      </c>
      <c r="E18" s="57">
        <f t="shared" si="2"/>
        <v>0</v>
      </c>
      <c r="F18" s="200">
        <f t="shared" si="1"/>
        <v>0</v>
      </c>
      <c r="G18" s="20">
        <f>'SC_Loop 1'!G18</f>
        <v>3.7400000000000003E-3</v>
      </c>
      <c r="H18" s="57">
        <f t="shared" si="3"/>
        <v>0</v>
      </c>
      <c r="I18" s="49"/>
      <c r="J18" s="49" t="str">
        <f t="shared" si="0"/>
        <v xml:space="preserve"> </v>
      </c>
      <c r="K18" s="49"/>
      <c r="L18" s="49"/>
      <c r="M18" s="106" t="str">
        <f t="shared" si="4"/>
        <v xml:space="preserve"> </v>
      </c>
    </row>
    <row r="19" spans="1:13" ht="25" x14ac:dyDescent="0.25">
      <c r="A19" s="115" t="str">
        <f>'SC_Loop 1'!A19</f>
        <v>DTD-210A</v>
      </c>
      <c r="B19" s="208" t="str">
        <f>'SC_Loop 1'!B19</f>
        <v>Addressable heat detector</v>
      </c>
      <c r="C19" s="97"/>
      <c r="D19" s="20">
        <f>'SC_Loop 1'!D19</f>
        <v>1.2219999999999999E-4</v>
      </c>
      <c r="E19" s="57">
        <f t="shared" si="2"/>
        <v>0</v>
      </c>
      <c r="F19" s="200">
        <f t="shared" si="1"/>
        <v>0</v>
      </c>
      <c r="G19" s="20">
        <f>'SC_Loop 1'!G19</f>
        <v>3.64E-3</v>
      </c>
      <c r="H19" s="57">
        <f t="shared" si="3"/>
        <v>0</v>
      </c>
      <c r="I19" s="49"/>
      <c r="J19" s="49" t="str">
        <f t="shared" si="0"/>
        <v xml:space="preserve"> </v>
      </c>
      <c r="K19" s="49"/>
      <c r="L19" s="49"/>
      <c r="M19" s="106" t="str">
        <f t="shared" si="4"/>
        <v xml:space="preserve"> </v>
      </c>
    </row>
    <row r="20" spans="1:13" ht="25" x14ac:dyDescent="0.25">
      <c r="A20" s="115" t="str">
        <f>'SC_Loop 1'!A20</f>
        <v>DTD-210A-I</v>
      </c>
      <c r="B20" s="208" t="str">
        <f>'SC_Loop 1'!B20</f>
        <v>Addressable heat detector with isolator</v>
      </c>
      <c r="C20" s="97"/>
      <c r="D20" s="20">
        <f>'SC_Loop 1'!D20</f>
        <v>1.9239999999999999E-4</v>
      </c>
      <c r="E20" s="57">
        <f t="shared" si="2"/>
        <v>0</v>
      </c>
      <c r="F20" s="200">
        <f t="shared" si="1"/>
        <v>0</v>
      </c>
      <c r="G20" s="20">
        <f>'SC_Loop 1'!G20</f>
        <v>3.7599999999999999E-3</v>
      </c>
      <c r="H20" s="57">
        <f t="shared" si="3"/>
        <v>0</v>
      </c>
      <c r="I20" s="49"/>
      <c r="J20" s="49" t="str">
        <f t="shared" si="0"/>
        <v xml:space="preserve"> </v>
      </c>
      <c r="K20" s="49"/>
      <c r="L20" s="49"/>
      <c r="M20" s="106" t="str">
        <f t="shared" si="4"/>
        <v xml:space="preserve"> </v>
      </c>
    </row>
    <row r="21" spans="1:13" ht="25" x14ac:dyDescent="0.25">
      <c r="A21" s="115" t="str">
        <f>'SC_Loop 1'!A21</f>
        <v>DTD-215A</v>
      </c>
      <c r="B21" s="208" t="str">
        <f>'SC_Loop 1'!B21</f>
        <v>Addressable high temperature detector</v>
      </c>
      <c r="C21" s="97"/>
      <c r="D21" s="20">
        <f>'SC_Loop 1'!D21</f>
        <v>1.3369999999999997E-4</v>
      </c>
      <c r="E21" s="57">
        <f t="shared" si="2"/>
        <v>0</v>
      </c>
      <c r="F21" s="200">
        <f t="shared" si="1"/>
        <v>0</v>
      </c>
      <c r="G21" s="20">
        <f>'SC_Loop 1'!G21</f>
        <v>3.7799999999999999E-3</v>
      </c>
      <c r="H21" s="57">
        <f t="shared" si="3"/>
        <v>0</v>
      </c>
      <c r="I21" s="49"/>
      <c r="J21" s="49" t="str">
        <f t="shared" si="0"/>
        <v xml:space="preserve"> </v>
      </c>
      <c r="K21" s="49"/>
      <c r="L21" s="49"/>
      <c r="M21" s="106" t="str">
        <f t="shared" si="4"/>
        <v xml:space="preserve"> </v>
      </c>
    </row>
    <row r="22" spans="1:13" ht="37.5" x14ac:dyDescent="0.25">
      <c r="A22" s="115" t="str">
        <f>'SC_Loop 1'!A22</f>
        <v>DTD-215A-I</v>
      </c>
      <c r="B22" s="208" t="str">
        <f>'SC_Loop 1'!B22</f>
        <v>Addressable high temperature detector with isolator</v>
      </c>
      <c r="C22" s="97"/>
      <c r="D22" s="20">
        <f>'SC_Loop 1'!D22</f>
        <v>2.0349999999999999E-4</v>
      </c>
      <c r="E22" s="57">
        <f t="shared" si="2"/>
        <v>0</v>
      </c>
      <c r="F22" s="200">
        <f t="shared" si="1"/>
        <v>0</v>
      </c>
      <c r="G22" s="20">
        <f>'SC_Loop 1'!G22</f>
        <v>3.7699999999999999E-3</v>
      </c>
      <c r="H22" s="57">
        <f t="shared" si="3"/>
        <v>0</v>
      </c>
      <c r="I22" s="49"/>
      <c r="J22" s="49" t="str">
        <f t="shared" si="0"/>
        <v xml:space="preserve"> </v>
      </c>
      <c r="K22" s="49"/>
      <c r="L22" s="49"/>
      <c r="M22" s="106" t="str">
        <f t="shared" si="4"/>
        <v xml:space="preserve"> </v>
      </c>
    </row>
    <row r="23" spans="1:13" ht="25" x14ac:dyDescent="0.25">
      <c r="A23" s="115" t="str">
        <f>'SC_Loop 1'!A23</f>
        <v>DGD-600</v>
      </c>
      <c r="B23" s="208" t="str">
        <f>'SC_Loop 1'!B23</f>
        <v>Stand-alone natural gas detector (24V)</v>
      </c>
      <c r="C23" s="97"/>
      <c r="D23" s="20">
        <f>'SC_Loop 1'!D23</f>
        <v>2.1800000000000001E-3</v>
      </c>
      <c r="E23" s="57">
        <f t="shared" si="2"/>
        <v>0</v>
      </c>
      <c r="F23" s="200">
        <f>IF(C23&gt;10,10,C23)</f>
        <v>0</v>
      </c>
      <c r="G23" s="20">
        <f>'SC_Loop 1'!G23</f>
        <v>2.2200000000000002E-3</v>
      </c>
      <c r="H23" s="57">
        <f t="shared" si="3"/>
        <v>0</v>
      </c>
      <c r="I23" s="49"/>
      <c r="J23" s="49" t="str">
        <f t="shared" si="0"/>
        <v xml:space="preserve"> </v>
      </c>
      <c r="K23" s="49"/>
      <c r="L23" s="49"/>
      <c r="M23" s="106" t="str">
        <f t="shared" si="4"/>
        <v xml:space="preserve"> </v>
      </c>
    </row>
    <row r="24" spans="1:13" ht="25" x14ac:dyDescent="0.25">
      <c r="A24" s="115" t="str">
        <f>'SC_Loop 1'!A24</f>
        <v>DGD-600-AC</v>
      </c>
      <c r="B24" s="208" t="str">
        <f>'SC_Loop 1'!B24</f>
        <v>Stand-alone natural gas detector (230V)</v>
      </c>
      <c r="C24" s="97"/>
      <c r="D24" s="20">
        <f>'SC_Loop 1'!D24</f>
        <v>2.5999999999999999E-3</v>
      </c>
      <c r="E24" s="57">
        <f t="shared" si="2"/>
        <v>0</v>
      </c>
      <c r="F24" s="200">
        <f t="shared" ref="F24:F26" si="5">IF(C24&gt;10,10,C24)</f>
        <v>0</v>
      </c>
      <c r="G24" s="20">
        <f>'SC_Loop 1'!G24</f>
        <v>3.16E-3</v>
      </c>
      <c r="H24" s="57">
        <f t="shared" si="3"/>
        <v>0</v>
      </c>
      <c r="I24" s="49"/>
      <c r="J24" s="49" t="str">
        <f t="shared" si="0"/>
        <v xml:space="preserve"> </v>
      </c>
      <c r="K24" s="49"/>
      <c r="L24" s="49"/>
      <c r="M24" s="106" t="str">
        <f t="shared" si="4"/>
        <v xml:space="preserve"> </v>
      </c>
    </row>
    <row r="25" spans="1:13" ht="25" x14ac:dyDescent="0.25">
      <c r="A25" s="115" t="str">
        <f>'SC_Loop 1'!A25</f>
        <v>DGD-620</v>
      </c>
      <c r="B25" s="208" t="str">
        <f>'SC_Loop 1'!B25</f>
        <v>Stand-alone LPG detector (24V)</v>
      </c>
      <c r="C25" s="97"/>
      <c r="D25" s="20">
        <f>'SC_Loop 1'!D25</f>
        <v>2.1800000000000001E-3</v>
      </c>
      <c r="E25" s="57">
        <f t="shared" si="2"/>
        <v>0</v>
      </c>
      <c r="F25" s="200">
        <f t="shared" si="5"/>
        <v>0</v>
      </c>
      <c r="G25" s="20">
        <f>'SC_Loop 1'!G25</f>
        <v>2.2200000000000002E-3</v>
      </c>
      <c r="H25" s="57">
        <f t="shared" si="3"/>
        <v>0</v>
      </c>
      <c r="I25" s="49"/>
      <c r="J25" s="49" t="str">
        <f t="shared" si="0"/>
        <v xml:space="preserve"> </v>
      </c>
      <c r="K25" s="49"/>
      <c r="L25" s="49"/>
      <c r="M25" s="106" t="str">
        <f t="shared" si="4"/>
        <v xml:space="preserve"> </v>
      </c>
    </row>
    <row r="26" spans="1:13" ht="25" x14ac:dyDescent="0.25">
      <c r="A26" s="115" t="str">
        <f>'SC_Loop 1'!A26</f>
        <v>DGD-620-AC</v>
      </c>
      <c r="B26" s="208" t="str">
        <f>'SC_Loop 1'!B26</f>
        <v>Stand-alone LPG detector (230V)</v>
      </c>
      <c r="C26" s="97"/>
      <c r="D26" s="20">
        <f>'SC_Loop 1'!D26</f>
        <v>2.5999999999999999E-3</v>
      </c>
      <c r="E26" s="57">
        <f t="shared" si="2"/>
        <v>0</v>
      </c>
      <c r="F26" s="200">
        <f t="shared" si="5"/>
        <v>0</v>
      </c>
      <c r="G26" s="20">
        <f>'SC_Loop 1'!G26</f>
        <v>3.16E-3</v>
      </c>
      <c r="H26" s="57">
        <f t="shared" si="3"/>
        <v>0</v>
      </c>
      <c r="I26" s="49"/>
      <c r="J26" s="49" t="str">
        <f t="shared" si="0"/>
        <v xml:space="preserve"> </v>
      </c>
      <c r="K26" s="49"/>
      <c r="L26" s="49"/>
      <c r="M26" s="106" t="str">
        <f t="shared" si="4"/>
        <v xml:space="preserve"> </v>
      </c>
    </row>
    <row r="27" spans="1:13" ht="25" x14ac:dyDescent="0.25">
      <c r="A27" s="115" t="str">
        <f>'SC_Loop 1'!A27</f>
        <v>DBD-70A</v>
      </c>
      <c r="B27" s="208" t="str">
        <f>'SC_Loop 1'!B27</f>
        <v>Addressable lineal smoke detector</v>
      </c>
      <c r="C27" s="97"/>
      <c r="D27" s="20">
        <f>'SC_Loop 1'!D27</f>
        <v>3.7999999999999999E-2</v>
      </c>
      <c r="E27" s="57">
        <f t="shared" si="2"/>
        <v>0</v>
      </c>
      <c r="F27" s="200">
        <f>C27</f>
        <v>0</v>
      </c>
      <c r="G27" s="20">
        <f>'SC_Loop 1'!G27</f>
        <v>3.7999999999999999E-2</v>
      </c>
      <c r="H27" s="57">
        <f t="shared" si="3"/>
        <v>0</v>
      </c>
      <c r="I27" s="49"/>
      <c r="J27" s="49" t="str">
        <f t="shared" si="0"/>
        <v xml:space="preserve"> </v>
      </c>
      <c r="K27" s="49"/>
      <c r="L27" s="49"/>
      <c r="M27" s="106" t="str">
        <f t="shared" si="4"/>
        <v xml:space="preserve"> </v>
      </c>
    </row>
    <row r="28" spans="1:13" ht="25" x14ac:dyDescent="0.25">
      <c r="A28" s="115" t="str">
        <f>'SC_Loop 1'!A28</f>
        <v>MAD-401 &amp; MAD-401-I</v>
      </c>
      <c r="B28" s="208" t="str">
        <f>'SC_Loop 1'!B28</f>
        <v>1 output addressable module</v>
      </c>
      <c r="C28" s="97"/>
      <c r="D28" s="20">
        <f>'SC_Loop 1'!D28</f>
        <v>2.1680000000000001E-4</v>
      </c>
      <c r="E28" s="57">
        <f t="shared" si="2"/>
        <v>0</v>
      </c>
      <c r="F28" s="199">
        <f>C28*'System Calculation'!$I$14</f>
        <v>0</v>
      </c>
      <c r="G28" s="20">
        <f>'SC_Loop 1'!G28</f>
        <v>3.0600000000000002E-3</v>
      </c>
      <c r="H28" s="57">
        <f t="shared" si="3"/>
        <v>0</v>
      </c>
      <c r="I28" s="49"/>
      <c r="J28" s="49"/>
      <c r="K28" s="49" t="str">
        <f>IF(C28&lt;&gt;0,C28," ")</f>
        <v xml:space="preserve"> </v>
      </c>
      <c r="L28" s="49"/>
      <c r="M28" s="106" t="str">
        <f>IF(K28&lt;&gt;0,K28," ")</f>
        <v xml:space="preserve"> </v>
      </c>
    </row>
    <row r="29" spans="1:13" ht="25" x14ac:dyDescent="0.25">
      <c r="A29" s="115" t="str">
        <f>'SC_Loop 1'!A29</f>
        <v>MAD-402 &amp; MAD-402-I</v>
      </c>
      <c r="B29" s="208" t="str">
        <f>'SC_Loop 1'!B29</f>
        <v>2 outputs addressable module</v>
      </c>
      <c r="C29" s="97"/>
      <c r="D29" s="20">
        <f>'SC_Loop 1'!D29</f>
        <v>2.174E-4</v>
      </c>
      <c r="E29" s="57">
        <f t="shared" si="2"/>
        <v>0</v>
      </c>
      <c r="F29" s="199">
        <f>C29*'System Calculation'!$I$14</f>
        <v>0</v>
      </c>
      <c r="G29" s="20">
        <f>'SC_Loop 1'!G29</f>
        <v>5.9500000000000004E-3</v>
      </c>
      <c r="H29" s="57">
        <f t="shared" si="3"/>
        <v>0</v>
      </c>
      <c r="I29" s="49"/>
      <c r="J29" s="49"/>
      <c r="K29" s="49">
        <f>IF(C29&lt;&gt;0,C29,0)</f>
        <v>0</v>
      </c>
      <c r="L29" s="49"/>
      <c r="M29" s="106" t="str">
        <f>IF(K29&lt;&gt;0,K29*2," ")</f>
        <v xml:space="preserve"> </v>
      </c>
    </row>
    <row r="30" spans="1:13" ht="25" x14ac:dyDescent="0.25">
      <c r="A30" s="115" t="str">
        <f>'SC_Loop 1'!A30</f>
        <v>MAD-405-I</v>
      </c>
      <c r="B30" s="208" t="str">
        <f>'SC_Loop 1'!B30</f>
        <v>5 outputs addressable module</v>
      </c>
      <c r="C30" s="97"/>
      <c r="D30" s="20">
        <f>'SC_Loop 1'!D30</f>
        <v>2.786E-4</v>
      </c>
      <c r="E30" s="57">
        <f t="shared" si="2"/>
        <v>0</v>
      </c>
      <c r="F30" s="199">
        <f>C30*'System Calculation'!$I$14</f>
        <v>0</v>
      </c>
      <c r="G30" s="20">
        <f>'SC_Loop 1'!G30</f>
        <v>3.15E-3</v>
      </c>
      <c r="H30" s="57">
        <f t="shared" si="3"/>
        <v>0</v>
      </c>
      <c r="I30" s="49"/>
      <c r="J30" s="49"/>
      <c r="K30" s="49">
        <f>IF(C30&lt;&gt;0,C30,0)</f>
        <v>0</v>
      </c>
      <c r="L30" s="49"/>
      <c r="M30" s="106" t="str">
        <f>IF(K30&lt;&gt;0,K30*5," ")</f>
        <v xml:space="preserve"> </v>
      </c>
    </row>
    <row r="31" spans="1:13" ht="25" x14ac:dyDescent="0.25">
      <c r="A31" s="115" t="str">
        <f>'SC_Loop 1'!A31</f>
        <v>MAD-409-I</v>
      </c>
      <c r="B31" s="208" t="str">
        <f>'SC_Loop 1'!B31</f>
        <v>10 outputs addressable module</v>
      </c>
      <c r="C31" s="97"/>
      <c r="D31" s="20">
        <f>'SC_Loop 1'!D31</f>
        <v>3.6769999999999999E-4</v>
      </c>
      <c r="E31" s="57">
        <f t="shared" si="2"/>
        <v>0</v>
      </c>
      <c r="F31" s="199">
        <f>C31*'System Calculation'!$I$14</f>
        <v>0</v>
      </c>
      <c r="G31" s="20">
        <f>'SC_Loop 1'!G31</f>
        <v>3.3E-3</v>
      </c>
      <c r="H31" s="57">
        <f t="shared" si="3"/>
        <v>0</v>
      </c>
      <c r="I31" s="49"/>
      <c r="J31" s="49"/>
      <c r="K31" s="49"/>
      <c r="L31" s="49"/>
      <c r="M31" s="106" t="str">
        <f>IF(K31&lt;&gt;0,K31*10," ")</f>
        <v xml:space="preserve"> </v>
      </c>
    </row>
    <row r="32" spans="1:13" ht="25" x14ac:dyDescent="0.25">
      <c r="A32" s="115" t="str">
        <f>'SC_Loop 1'!A32</f>
        <v>MAD-411 &amp; MAD-411-I</v>
      </c>
      <c r="B32" s="208" t="str">
        <f>'SC_Loop 1'!B32</f>
        <v>1 input addressable module</v>
      </c>
      <c r="C32" s="97"/>
      <c r="D32" s="20">
        <f>'SC_Loop 1'!D32</f>
        <v>1.916E-4</v>
      </c>
      <c r="E32" s="57">
        <f t="shared" si="2"/>
        <v>0</v>
      </c>
      <c r="F32" s="199">
        <f>C32*'System Calculation'!$I$14</f>
        <v>0</v>
      </c>
      <c r="G32" s="20">
        <f>'SC_Loop 1'!G32</f>
        <v>3.0600000000000002E-3</v>
      </c>
      <c r="H32" s="57">
        <f t="shared" si="3"/>
        <v>0</v>
      </c>
      <c r="I32" s="49"/>
      <c r="J32" s="49"/>
      <c r="K32" s="49" t="str">
        <f>IF(C32&lt;&gt;0,C32," ")</f>
        <v xml:space="preserve"> </v>
      </c>
      <c r="L32" s="49"/>
      <c r="M32" s="106" t="str">
        <f t="shared" ref="M32" si="6">IF(K32&lt;&gt;0,K32," ")</f>
        <v xml:space="preserve"> </v>
      </c>
    </row>
    <row r="33" spans="1:15" ht="25" x14ac:dyDescent="0.25">
      <c r="A33" s="115" t="str">
        <f>'SC_Loop 1'!A33</f>
        <v>MAD-412 &amp; MAD-412-I</v>
      </c>
      <c r="B33" s="208" t="str">
        <f>'SC_Loop 1'!B33</f>
        <v>2 inputs addressable module</v>
      </c>
      <c r="C33" s="97"/>
      <c r="D33" s="20">
        <f>'SC_Loop 1'!D33</f>
        <v>1.9099999999999998E-4</v>
      </c>
      <c r="E33" s="57">
        <f t="shared" si="2"/>
        <v>0</v>
      </c>
      <c r="F33" s="199">
        <f>C33*'System Calculation'!$I$14</f>
        <v>0</v>
      </c>
      <c r="G33" s="20">
        <f>'SC_Loop 1'!G33</f>
        <v>5.8399999999999997E-3</v>
      </c>
      <c r="H33" s="57">
        <f t="shared" si="3"/>
        <v>0</v>
      </c>
      <c r="I33" s="49"/>
      <c r="J33" s="49"/>
      <c r="K33" s="49">
        <f t="shared" ref="K33:K39" si="7">IF(C33&lt;&gt;0,C33,0)</f>
        <v>0</v>
      </c>
      <c r="L33" s="49"/>
      <c r="M33" s="106" t="str">
        <f>IF(K33&lt;&gt;0,K33*2," ")</f>
        <v xml:space="preserve"> </v>
      </c>
    </row>
    <row r="34" spans="1:15" ht="25" x14ac:dyDescent="0.25">
      <c r="A34" s="115" t="str">
        <f>'SC_Loop 1'!A34</f>
        <v>MAD-415-I</v>
      </c>
      <c r="B34" s="208" t="str">
        <f>'SC_Loop 1'!B34</f>
        <v>5 inputs addressable module</v>
      </c>
      <c r="C34" s="97"/>
      <c r="D34" s="20">
        <f>'SC_Loop 1'!D34</f>
        <v>1.8880000000000001E-4</v>
      </c>
      <c r="E34" s="57">
        <f t="shared" si="2"/>
        <v>0</v>
      </c>
      <c r="F34" s="199">
        <f>C34*'System Calculation'!$I$14</f>
        <v>0</v>
      </c>
      <c r="G34" s="20">
        <f>'SC_Loop 1'!G34</f>
        <v>3.9500000000000004E-3</v>
      </c>
      <c r="H34" s="57">
        <f t="shared" si="3"/>
        <v>0</v>
      </c>
      <c r="I34" s="49"/>
      <c r="J34" s="49"/>
      <c r="K34" s="49">
        <f t="shared" si="7"/>
        <v>0</v>
      </c>
      <c r="L34" s="49"/>
      <c r="M34" s="106" t="str">
        <f>IF(KJ34&lt;&gt;0,K34*5," ")</f>
        <v xml:space="preserve"> </v>
      </c>
      <c r="O34" s="13" t="str">
        <f t="shared" ref="O34" si="8">IF(AND(C34&gt;0),"Info: External 24V needed. Control Panel could provide from 24Vaux, if 500mA maximum current isn't exceeded."," ")</f>
        <v xml:space="preserve"> </v>
      </c>
    </row>
    <row r="35" spans="1:15" ht="25" x14ac:dyDescent="0.25">
      <c r="A35" s="115" t="str">
        <f>'SC_Loop 1'!A35</f>
        <v>MAD-419-I</v>
      </c>
      <c r="B35" s="208" t="str">
        <f>'SC_Loop 1'!B35</f>
        <v>10 inputs addressable module</v>
      </c>
      <c r="C35" s="97"/>
      <c r="D35" s="20">
        <f>'SC_Loop 1'!D35</f>
        <v>1.8919999999999999E-4</v>
      </c>
      <c r="E35" s="57">
        <f t="shared" si="2"/>
        <v>0</v>
      </c>
      <c r="F35" s="199">
        <f>C35*'System Calculation'!$I$14</f>
        <v>0</v>
      </c>
      <c r="G35" s="20">
        <f>'SC_Loop 1'!G35</f>
        <v>4.8399999999999997E-3</v>
      </c>
      <c r="H35" s="57">
        <f t="shared" si="3"/>
        <v>0</v>
      </c>
      <c r="I35" s="49"/>
      <c r="J35" s="49"/>
      <c r="K35" s="49">
        <f t="shared" si="7"/>
        <v>0</v>
      </c>
      <c r="L35" s="49"/>
      <c r="M35" s="106" t="str">
        <f>IF(K35&lt;&gt;0,K35*10," ")</f>
        <v xml:space="preserve"> </v>
      </c>
      <c r="O35" s="13" t="str">
        <f>IF(AND(C33&gt;0),"Info: External 24V needed. Control Panel could provide from 24Vaux, if 500mA maximum current isn't exceeded."," ")</f>
        <v xml:space="preserve"> </v>
      </c>
    </row>
    <row r="36" spans="1:15" ht="25" x14ac:dyDescent="0.25">
      <c r="A36" s="115" t="str">
        <f>'SC_Loop 1'!A36</f>
        <v>MAD-421 &amp; MAD-421-I</v>
      </c>
      <c r="B36" s="208" t="str">
        <f>'SC_Loop 1'!B36</f>
        <v>1 output/1 input addressable module</v>
      </c>
      <c r="C36" s="97"/>
      <c r="D36" s="20">
        <f>'SC_Loop 1'!D36</f>
        <v>2.1009999999999998E-4</v>
      </c>
      <c r="E36" s="57">
        <f t="shared" si="2"/>
        <v>0</v>
      </c>
      <c r="F36" s="199">
        <f>C36*'System Calculation'!$I$14</f>
        <v>0</v>
      </c>
      <c r="G36" s="20">
        <f>'SC_Loop 1'!G36</f>
        <v>5.9199999999999999E-3</v>
      </c>
      <c r="H36" s="57">
        <f t="shared" si="3"/>
        <v>0</v>
      </c>
      <c r="I36" s="49"/>
      <c r="J36" s="49"/>
      <c r="K36" s="49">
        <f t="shared" si="7"/>
        <v>0</v>
      </c>
      <c r="L36" s="49"/>
      <c r="M36" s="106" t="str">
        <f>IF(K36&lt;&gt;0,K36*2," ")</f>
        <v xml:space="preserve"> </v>
      </c>
      <c r="O36" s="13"/>
    </row>
    <row r="37" spans="1:15" ht="25" x14ac:dyDescent="0.25">
      <c r="A37" s="115" t="str">
        <f>'SC_Loop 1'!A37</f>
        <v>MAD-422 &amp; MAD-422-I</v>
      </c>
      <c r="B37" s="208" t="str">
        <f>'SC_Loop 1'!B37</f>
        <v>2 outputs/2 inputs addressable module</v>
      </c>
      <c r="C37" s="97"/>
      <c r="D37" s="20">
        <f>'SC_Loop 1'!D37</f>
        <v>2.34E-4</v>
      </c>
      <c r="E37" s="57">
        <f t="shared" si="2"/>
        <v>0</v>
      </c>
      <c r="F37" s="199">
        <f>C37*'System Calculation'!$I$14</f>
        <v>0</v>
      </c>
      <c r="G37" s="20">
        <f>'SC_Loop 1'!G37</f>
        <v>5.9100000000000003E-3</v>
      </c>
      <c r="H37" s="57">
        <f t="shared" si="3"/>
        <v>0</v>
      </c>
      <c r="I37" s="49"/>
      <c r="J37" s="49"/>
      <c r="K37" s="49">
        <f t="shared" si="7"/>
        <v>0</v>
      </c>
      <c r="L37" s="49"/>
      <c r="M37" s="106" t="str">
        <f>IF(K37&lt;&gt;0,K37*4," ")</f>
        <v xml:space="preserve"> </v>
      </c>
      <c r="O37" s="13"/>
    </row>
    <row r="38" spans="1:15" ht="25" x14ac:dyDescent="0.25">
      <c r="A38" s="115" t="str">
        <f>'SC_Loop 1'!A38</f>
        <v>MAD-425-I</v>
      </c>
      <c r="B38" s="208" t="str">
        <f>'SC_Loop 1'!B38</f>
        <v>5 outputs/5 inputs addressable module</v>
      </c>
      <c r="C38" s="97"/>
      <c r="D38" s="20">
        <f>'SC_Loop 1'!D38</f>
        <v>2.8399999999999996E-4</v>
      </c>
      <c r="E38" s="57">
        <f t="shared" si="2"/>
        <v>0</v>
      </c>
      <c r="F38" s="199">
        <f>C38*'System Calculation'!$I$14</f>
        <v>0</v>
      </c>
      <c r="G38" s="20">
        <f>'SC_Loop 1'!G38</f>
        <v>4.0800000000000003E-3</v>
      </c>
      <c r="H38" s="57">
        <f t="shared" si="3"/>
        <v>0</v>
      </c>
      <c r="I38" s="49"/>
      <c r="J38" s="49"/>
      <c r="K38" s="49">
        <f t="shared" si="7"/>
        <v>0</v>
      </c>
      <c r="L38" s="49"/>
      <c r="M38" s="106" t="str">
        <f>IF(K38&lt;&gt;0,K38*10," ")</f>
        <v xml:space="preserve"> </v>
      </c>
      <c r="O38" s="13" t="str">
        <f t="shared" ref="O38:O43" si="9">IF(AND(C38&gt;0),"Info: External 24V needed. Control Panel could provide from 24Vaux, if 500mA maximum current isn't exceeded."," ")</f>
        <v xml:space="preserve"> </v>
      </c>
    </row>
    <row r="39" spans="1:15" ht="25" x14ac:dyDescent="0.25">
      <c r="A39" s="115" t="str">
        <f>'SC_Loop 1'!A39</f>
        <v>MAD-429-I</v>
      </c>
      <c r="B39" s="208" t="str">
        <f>'SC_Loop 1'!B39</f>
        <v>10 outputs/10 inputs addressable module</v>
      </c>
      <c r="C39" s="97"/>
      <c r="D39" s="20">
        <f>'SC_Loop 1'!D39</f>
        <v>3.7659999999999999E-4</v>
      </c>
      <c r="E39" s="57">
        <f t="shared" si="2"/>
        <v>0</v>
      </c>
      <c r="F39" s="199">
        <f>C39*'System Calculation'!$I$14</f>
        <v>0</v>
      </c>
      <c r="G39" s="20">
        <f>'SC_Loop 1'!G39</f>
        <v>5.0000000000000001E-3</v>
      </c>
      <c r="H39" s="57">
        <f t="shared" si="3"/>
        <v>0</v>
      </c>
      <c r="I39" s="49"/>
      <c r="J39" s="49"/>
      <c r="K39" s="49">
        <f t="shared" si="7"/>
        <v>0</v>
      </c>
      <c r="L39" s="49"/>
      <c r="M39" s="106" t="str">
        <f>IF(K39&lt;&gt;0,K39*20," ")</f>
        <v xml:space="preserve"> </v>
      </c>
      <c r="O39" s="13" t="str">
        <f t="shared" si="9"/>
        <v xml:space="preserve"> </v>
      </c>
    </row>
    <row r="40" spans="1:15" ht="25" x14ac:dyDescent="0.25">
      <c r="A40" s="115" t="str">
        <f>'SC_Loop 1'!A40</f>
        <v>MAD-431 &amp; MAD-431-I</v>
      </c>
      <c r="B40" s="208" t="str">
        <f>'SC_Loop 1'!B40</f>
        <v>1 output 24V addressable module</v>
      </c>
      <c r="C40" s="97"/>
      <c r="D40" s="20">
        <f>'SC_Loop 1'!D40</f>
        <v>2.1499999999999999E-4</v>
      </c>
      <c r="E40" s="57">
        <f t="shared" si="2"/>
        <v>0</v>
      </c>
      <c r="F40" s="199">
        <f>C40*'System Calculation'!$I$14</f>
        <v>0</v>
      </c>
      <c r="G40" s="20">
        <f>'SC_Loop 1'!G40</f>
        <v>3.6099999999999999E-3</v>
      </c>
      <c r="H40" s="57">
        <f t="shared" si="3"/>
        <v>0</v>
      </c>
      <c r="I40" s="49"/>
      <c r="J40" s="49"/>
      <c r="K40" s="49" t="str">
        <f>IF(C40&lt;&gt;0,C40," ")</f>
        <v xml:space="preserve"> </v>
      </c>
      <c r="L40" s="49"/>
      <c r="M40" s="106" t="str">
        <f>IF(K40&lt;&gt;0,K40," ")</f>
        <v xml:space="preserve"> </v>
      </c>
      <c r="O40" s="13" t="str">
        <f t="shared" si="9"/>
        <v xml:space="preserve"> </v>
      </c>
    </row>
    <row r="41" spans="1:15" ht="25" x14ac:dyDescent="0.25">
      <c r="A41" s="115" t="str">
        <f>'SC_Loop 1'!A41</f>
        <v>MAD-432 &amp; MAD-432-I</v>
      </c>
      <c r="B41" s="208" t="str">
        <f>'SC_Loop 1'!B41</f>
        <v>2 outputs 24V addressable module</v>
      </c>
      <c r="C41" s="97"/>
      <c r="D41" s="20">
        <f>'SC_Loop 1'!D41</f>
        <v>2.0330000000000001E-4</v>
      </c>
      <c r="E41" s="57">
        <f t="shared" si="2"/>
        <v>0</v>
      </c>
      <c r="F41" s="199">
        <f>C41*'System Calculation'!$I$14</f>
        <v>0</v>
      </c>
      <c r="G41" s="20">
        <f>'SC_Loop 1'!G41</f>
        <v>6.7999999999999996E-3</v>
      </c>
      <c r="H41" s="57">
        <f t="shared" si="3"/>
        <v>0</v>
      </c>
      <c r="I41" s="49"/>
      <c r="J41" s="49"/>
      <c r="K41" s="49" t="str">
        <f t="shared" ref="K41:K43" si="10">IF(C41&lt;&gt;0,C41," ")</f>
        <v xml:space="preserve"> </v>
      </c>
      <c r="L41" s="49"/>
      <c r="M41" s="106" t="str">
        <f>IF(K41&lt;&gt;0,K41," ")</f>
        <v xml:space="preserve"> </v>
      </c>
      <c r="O41" s="13" t="str">
        <f t="shared" si="9"/>
        <v xml:space="preserve"> </v>
      </c>
    </row>
    <row r="42" spans="1:15" ht="25" x14ac:dyDescent="0.25">
      <c r="A42" s="115" t="str">
        <f>'SC_Loop 1'!A42</f>
        <v>MAD-441 &amp; MAD-441-I</v>
      </c>
      <c r="B42" s="208" t="str">
        <f>'SC_Loop 1'!B42</f>
        <v>1 conventional zone addressable module</v>
      </c>
      <c r="C42" s="97"/>
      <c r="D42" s="20">
        <f>'SC_Loop 1'!D42</f>
        <v>1.8780000000000001E-4</v>
      </c>
      <c r="E42" s="57">
        <f t="shared" si="2"/>
        <v>0</v>
      </c>
      <c r="F42" s="199">
        <f>C42*'System Calculation'!$I$14</f>
        <v>0</v>
      </c>
      <c r="G42" s="20">
        <f>'SC_Loop 1'!G42</f>
        <v>3.0400000000000002E-3</v>
      </c>
      <c r="H42" s="57">
        <f t="shared" si="3"/>
        <v>0</v>
      </c>
      <c r="I42" s="49"/>
      <c r="J42" s="49"/>
      <c r="K42" s="49" t="str">
        <f t="shared" si="10"/>
        <v xml:space="preserve"> </v>
      </c>
      <c r="L42" s="49"/>
      <c r="M42" s="106" t="str">
        <f t="shared" ref="M42:M43" si="11">IF(K42&lt;&gt;0,K42," ")</f>
        <v xml:space="preserve"> </v>
      </c>
      <c r="O42" s="13" t="str">
        <f t="shared" si="9"/>
        <v xml:space="preserve"> </v>
      </c>
    </row>
    <row r="43" spans="1:15" ht="25" x14ac:dyDescent="0.25">
      <c r="A43" s="115" t="str">
        <f>'SC_Loop 1'!A43</f>
        <v>MAD-442 &amp; MAD-442-I</v>
      </c>
      <c r="B43" s="208" t="str">
        <f>'SC_Loop 1'!B43</f>
        <v>2 conventionals zones addressable module</v>
      </c>
      <c r="C43" s="97"/>
      <c r="D43" s="20">
        <f>'SC_Loop 1'!D43</f>
        <v>1.8780000000000001E-4</v>
      </c>
      <c r="E43" s="57">
        <f t="shared" si="2"/>
        <v>0</v>
      </c>
      <c r="F43" s="199">
        <f>C43*'System Calculation'!$I$14</f>
        <v>0</v>
      </c>
      <c r="G43" s="20">
        <f>'SC_Loop 1'!G43</f>
        <v>5.8399999999999997E-3</v>
      </c>
      <c r="H43" s="57">
        <f t="shared" si="3"/>
        <v>0</v>
      </c>
      <c r="I43" s="49"/>
      <c r="J43" s="49"/>
      <c r="K43" s="49" t="str">
        <f t="shared" si="10"/>
        <v xml:space="preserve"> </v>
      </c>
      <c r="L43" s="49"/>
      <c r="M43" s="106" t="str">
        <f t="shared" si="11"/>
        <v xml:space="preserve"> </v>
      </c>
      <c r="O43" s="13" t="str">
        <f t="shared" si="9"/>
        <v xml:space="preserve"> </v>
      </c>
    </row>
    <row r="44" spans="1:15" ht="25" x14ac:dyDescent="0.25">
      <c r="A44" s="115" t="str">
        <f>'SC_Loop 1'!A44</f>
        <v>MAD-450 &amp; MAD-450-I</v>
      </c>
      <c r="B44" s="208" t="str">
        <f>'SC_Loop 1'!B44</f>
        <v>Addressable manual call point with isolator</v>
      </c>
      <c r="C44" s="97"/>
      <c r="D44" s="20">
        <f>'SC_Loop 1'!D44</f>
        <v>1.7659999999999998E-4</v>
      </c>
      <c r="E44" s="57">
        <f t="shared" si="2"/>
        <v>0</v>
      </c>
      <c r="F44" s="199">
        <f>C44*'System Calculation'!$I$12</f>
        <v>0</v>
      </c>
      <c r="G44" s="20">
        <f>'SC_Loop 1'!G44</f>
        <v>3.0299999999999997E-3</v>
      </c>
      <c r="H44" s="57">
        <f t="shared" si="3"/>
        <v>0</v>
      </c>
      <c r="I44" s="49"/>
      <c r="J44" s="49" t="str">
        <f t="shared" ref="J44:J45" si="12">IF(C44&lt;&gt;0,C44," ")</f>
        <v xml:space="preserve"> </v>
      </c>
      <c r="K44" s="49"/>
      <c r="L44" s="49"/>
      <c r="M44" s="106" t="str">
        <f t="shared" si="4"/>
        <v xml:space="preserve"> </v>
      </c>
    </row>
    <row r="45" spans="1:15" ht="25" x14ac:dyDescent="0.25">
      <c r="A45" s="115" t="str">
        <f>'SC_Loop 1'!A45</f>
        <v>MAD-451-I</v>
      </c>
      <c r="B45" s="208" t="str">
        <f>'SC_Loop 1'!B45</f>
        <v>Addressable manual call point with isolator</v>
      </c>
      <c r="C45" s="97"/>
      <c r="D45" s="20">
        <f>'SC_Loop 1'!D45</f>
        <v>1.774E-4</v>
      </c>
      <c r="E45" s="57">
        <f t="shared" si="2"/>
        <v>0</v>
      </c>
      <c r="F45" s="199">
        <f>C45*'System Calculation'!$I$12</f>
        <v>0</v>
      </c>
      <c r="G45" s="20">
        <f>'SC_Loop 1'!G45</f>
        <v>3.0000000000000001E-3</v>
      </c>
      <c r="H45" s="57">
        <f t="shared" si="3"/>
        <v>0</v>
      </c>
      <c r="I45" s="49"/>
      <c r="J45" s="49" t="str">
        <f t="shared" si="12"/>
        <v xml:space="preserve"> </v>
      </c>
      <c r="K45" s="49"/>
      <c r="L45" s="49"/>
      <c r="M45" s="106" t="str">
        <f t="shared" si="4"/>
        <v xml:space="preserve"> </v>
      </c>
    </row>
    <row r="46" spans="1:15" ht="25" x14ac:dyDescent="0.25">
      <c r="A46" s="115" t="str">
        <f>'SC_Loop 1'!A46</f>
        <v>MAD-461-I</v>
      </c>
      <c r="B46" s="208" t="str">
        <f>'SC_Loop 1'!B46</f>
        <v>Addressable sounder with isolator</v>
      </c>
      <c r="C46" s="97"/>
      <c r="D46" s="20">
        <f>'SC_Loop 1'!D46</f>
        <v>1.7689999999999999E-4</v>
      </c>
      <c r="E46" s="57">
        <f t="shared" si="2"/>
        <v>0</v>
      </c>
      <c r="F46" s="199">
        <f>C46*'System Calculation'!$I$13</f>
        <v>0</v>
      </c>
      <c r="G46" s="20">
        <f>'SC_Loop 1'!G46</f>
        <v>8.3499999999999998E-3</v>
      </c>
      <c r="H46" s="57">
        <f>F46*G46</f>
        <v>0</v>
      </c>
      <c r="I46" s="49" t="str">
        <f>IF(C46*H46=0," ",H46)</f>
        <v xml:space="preserve"> </v>
      </c>
      <c r="J46" s="49"/>
      <c r="K46" s="49"/>
      <c r="L46" s="49" t="str">
        <f t="shared" ref="L46:L66" si="13">IF(C46&lt;&gt;0,C46," ")</f>
        <v xml:space="preserve"> </v>
      </c>
      <c r="M46" s="106" t="str">
        <f>IF(L46&lt;&gt;0,L46," ")</f>
        <v xml:space="preserve"> </v>
      </c>
    </row>
    <row r="47" spans="1:15" ht="25" x14ac:dyDescent="0.25">
      <c r="A47" s="115" t="str">
        <f>'SC_Loop 1'!A47</f>
        <v>MAD-464-I Low Volume (78 dB)</v>
      </c>
      <c r="B47" s="208" t="str">
        <f>'SC_Loop 1'!B47</f>
        <v>Addressable sounder with isolator</v>
      </c>
      <c r="C47" s="97"/>
      <c r="D47" s="20">
        <f>'SC_Loop 1'!D47</f>
        <v>1.7649999999999998E-4</v>
      </c>
      <c r="E47" s="57">
        <f t="shared" si="2"/>
        <v>0</v>
      </c>
      <c r="F47" s="199">
        <f>C47*'System Calculation'!$I$13</f>
        <v>0</v>
      </c>
      <c r="G47" s="20">
        <f>'SC_Loop 1'!G47</f>
        <v>1.2320000000000001E-2</v>
      </c>
      <c r="H47" s="57">
        <f t="shared" si="3"/>
        <v>0</v>
      </c>
      <c r="I47" s="49" t="str">
        <f t="shared" ref="I47:I66" si="14">IF(C47*H47=0," ",H47)</f>
        <v xml:space="preserve"> </v>
      </c>
      <c r="J47" s="49"/>
      <c r="K47" s="49"/>
      <c r="L47" s="49" t="str">
        <f t="shared" si="13"/>
        <v xml:space="preserve"> </v>
      </c>
      <c r="M47" s="106" t="str">
        <f t="shared" ref="M47:M66" si="15">IF(L47&lt;&gt;0,L47," ")</f>
        <v xml:space="preserve"> </v>
      </c>
    </row>
    <row r="48" spans="1:15" ht="25" x14ac:dyDescent="0.25">
      <c r="A48" s="115" t="str">
        <f>'SC_Loop 1'!A48</f>
        <v>MAD-464-I Medium Volume (93 dB)</v>
      </c>
      <c r="B48" s="208" t="str">
        <f>'SC_Loop 1'!B48</f>
        <v>Addressable sounder with isolator</v>
      </c>
      <c r="C48" s="97"/>
      <c r="D48" s="20">
        <f>'SC_Loop 1'!D48</f>
        <v>1.7649999999999998E-4</v>
      </c>
      <c r="E48" s="57">
        <f t="shared" si="2"/>
        <v>0</v>
      </c>
      <c r="F48" s="199">
        <f>C48*'System Calculation'!$I$13</f>
        <v>0</v>
      </c>
      <c r="G48" s="20">
        <f>'SC_Loop 1'!G48</f>
        <v>1.2320000000000001E-2</v>
      </c>
      <c r="H48" s="57">
        <f t="shared" si="3"/>
        <v>0</v>
      </c>
      <c r="I48" s="49" t="str">
        <f t="shared" si="14"/>
        <v xml:space="preserve"> </v>
      </c>
      <c r="J48" s="49"/>
      <c r="K48" s="49"/>
      <c r="L48" s="49" t="str">
        <f t="shared" si="13"/>
        <v xml:space="preserve"> </v>
      </c>
      <c r="M48" s="106" t="str">
        <f t="shared" si="15"/>
        <v xml:space="preserve"> </v>
      </c>
    </row>
    <row r="49" spans="1:15" ht="25" x14ac:dyDescent="0.25">
      <c r="A49" s="115" t="str">
        <f>'SC_Loop 1'!A49</f>
        <v>MAD-464-I High Volume (97 dB)</v>
      </c>
      <c r="B49" s="208" t="str">
        <f>'SC_Loop 1'!B49</f>
        <v>Addressable sounder with isolator</v>
      </c>
      <c r="C49" s="97"/>
      <c r="D49" s="20">
        <f>'SC_Loop 1'!D49</f>
        <v>1.7649999999999998E-4</v>
      </c>
      <c r="E49" s="57">
        <f t="shared" si="2"/>
        <v>0</v>
      </c>
      <c r="F49" s="199">
        <f>C49*'System Calculation'!$I$13</f>
        <v>0</v>
      </c>
      <c r="G49" s="20">
        <f>'SC_Loop 1'!G49</f>
        <v>1.2320000000000001E-2</v>
      </c>
      <c r="H49" s="57">
        <f t="shared" si="3"/>
        <v>0</v>
      </c>
      <c r="I49" s="49" t="str">
        <f t="shared" si="14"/>
        <v xml:space="preserve"> </v>
      </c>
      <c r="J49" s="49"/>
      <c r="K49" s="49"/>
      <c r="L49" s="49" t="str">
        <f t="shared" si="13"/>
        <v xml:space="preserve"> </v>
      </c>
      <c r="M49" s="106" t="str">
        <f t="shared" si="15"/>
        <v xml:space="preserve"> </v>
      </c>
    </row>
    <row r="50" spans="1:15" ht="37.5" x14ac:dyDescent="0.25">
      <c r="A50" s="115" t="str">
        <f>'SC_Loop 1'!A50</f>
        <v>MAD-465-I Low Volume (78 dB)</v>
      </c>
      <c r="B50" s="208" t="str">
        <f>'SC_Loop 1'!B50</f>
        <v>Addressable sounder with beacon and isolator</v>
      </c>
      <c r="C50" s="97"/>
      <c r="D50" s="20">
        <f>'SC_Loop 1'!D50</f>
        <v>1.773E-4</v>
      </c>
      <c r="E50" s="57">
        <f t="shared" si="2"/>
        <v>0</v>
      </c>
      <c r="F50" s="199">
        <f>C50*'System Calculation'!$I$13</f>
        <v>0</v>
      </c>
      <c r="G50" s="20">
        <f>'SC_Loop 1'!G50</f>
        <v>1.2320000000000001E-2</v>
      </c>
      <c r="H50" s="57">
        <f t="shared" si="3"/>
        <v>0</v>
      </c>
      <c r="I50" s="49" t="str">
        <f t="shared" si="14"/>
        <v xml:space="preserve"> </v>
      </c>
      <c r="J50" s="49"/>
      <c r="K50" s="49"/>
      <c r="L50" s="49" t="str">
        <f t="shared" si="13"/>
        <v xml:space="preserve"> </v>
      </c>
      <c r="M50" s="106" t="str">
        <f t="shared" si="15"/>
        <v xml:space="preserve"> </v>
      </c>
    </row>
    <row r="51" spans="1:15" ht="37.5" x14ac:dyDescent="0.25">
      <c r="A51" s="115" t="str">
        <f>'SC_Loop 1'!A51</f>
        <v>MAD-465-I Medium Volume (93 dB)</v>
      </c>
      <c r="B51" s="208" t="str">
        <f>'SC_Loop 1'!B51</f>
        <v>Addressable sounder with beacon and isolator</v>
      </c>
      <c r="C51" s="97"/>
      <c r="D51" s="20">
        <f>'SC_Loop 1'!D51</f>
        <v>1.773E-4</v>
      </c>
      <c r="E51" s="57">
        <f t="shared" si="2"/>
        <v>0</v>
      </c>
      <c r="F51" s="199">
        <f>C51*'System Calculation'!$I$13</f>
        <v>0</v>
      </c>
      <c r="G51" s="20">
        <f>'SC_Loop 1'!G51</f>
        <v>1.2320000000000001E-2</v>
      </c>
      <c r="H51" s="57">
        <f t="shared" si="3"/>
        <v>0</v>
      </c>
      <c r="I51" s="49" t="str">
        <f t="shared" si="14"/>
        <v xml:space="preserve"> </v>
      </c>
      <c r="J51" s="49"/>
      <c r="K51" s="49"/>
      <c r="L51" s="49" t="str">
        <f t="shared" si="13"/>
        <v xml:space="preserve"> </v>
      </c>
      <c r="M51" s="106" t="str">
        <f t="shared" si="15"/>
        <v xml:space="preserve"> </v>
      </c>
    </row>
    <row r="52" spans="1:15" ht="37.5" x14ac:dyDescent="0.25">
      <c r="A52" s="115" t="str">
        <f>'SC_Loop 1'!A52</f>
        <v>MAD-465-I High Volume (97 dB)</v>
      </c>
      <c r="B52" s="208" t="str">
        <f>'SC_Loop 1'!B52</f>
        <v>Addressable sounder with beacon and isolator</v>
      </c>
      <c r="C52" s="97"/>
      <c r="D52" s="20">
        <f>'SC_Loop 1'!D52</f>
        <v>1.773E-4</v>
      </c>
      <c r="E52" s="57">
        <f t="shared" si="2"/>
        <v>0</v>
      </c>
      <c r="F52" s="199">
        <f>C52*'System Calculation'!$I$13</f>
        <v>0</v>
      </c>
      <c r="G52" s="20">
        <f>'SC_Loop 1'!G52</f>
        <v>1.2320000000000001E-2</v>
      </c>
      <c r="H52" s="57">
        <f t="shared" si="3"/>
        <v>0</v>
      </c>
      <c r="I52" s="49" t="str">
        <f t="shared" si="14"/>
        <v xml:space="preserve"> </v>
      </c>
      <c r="J52" s="49"/>
      <c r="K52" s="49"/>
      <c r="L52" s="49" t="str">
        <f t="shared" si="13"/>
        <v xml:space="preserve"> </v>
      </c>
      <c r="M52" s="106" t="str">
        <f t="shared" si="15"/>
        <v xml:space="preserve"> </v>
      </c>
    </row>
    <row r="53" spans="1:15" ht="25" x14ac:dyDescent="0.25">
      <c r="A53" s="115" t="str">
        <f>'SC_Loop 1'!A53</f>
        <v>MAD-564-I (loop)</v>
      </c>
      <c r="B53" s="208" t="str">
        <f>'SC_Loop 1'!B53</f>
        <v>Addressable sounder with isolator</v>
      </c>
      <c r="C53" s="97"/>
      <c r="D53" s="20">
        <f>'SC_Loop 1'!D53</f>
        <v>1.58E-3</v>
      </c>
      <c r="E53" s="57">
        <f t="shared" si="2"/>
        <v>0</v>
      </c>
      <c r="F53" s="199">
        <f>C53*'System Calculation'!$I$13</f>
        <v>0</v>
      </c>
      <c r="G53" s="20">
        <f>'SC_Loop 1'!G53</f>
        <v>2.111E-2</v>
      </c>
      <c r="H53" s="57">
        <f t="shared" si="3"/>
        <v>0</v>
      </c>
      <c r="I53" s="49" t="str">
        <f t="shared" si="14"/>
        <v xml:space="preserve"> </v>
      </c>
      <c r="J53" s="49"/>
      <c r="K53" s="49"/>
      <c r="L53" s="49" t="str">
        <f t="shared" si="13"/>
        <v xml:space="preserve"> </v>
      </c>
      <c r="M53" s="106" t="str">
        <f t="shared" si="15"/>
        <v xml:space="preserve"> </v>
      </c>
    </row>
    <row r="54" spans="1:15" ht="25" x14ac:dyDescent="0.25">
      <c r="A54" s="115" t="str">
        <f>'SC_Loop 1'!A54</f>
        <v>MAD-564-I (External PS)</v>
      </c>
      <c r="B54" s="208" t="str">
        <f>'SC_Loop 1'!B54</f>
        <v>Addressable sounder with isolator</v>
      </c>
      <c r="C54" s="97"/>
      <c r="D54" s="20">
        <f>'SC_Loop 1'!D54</f>
        <v>3.5E-4</v>
      </c>
      <c r="E54" s="57">
        <f t="shared" si="2"/>
        <v>0</v>
      </c>
      <c r="F54" s="199">
        <f>C54*'System Calculation'!$I$13</f>
        <v>0</v>
      </c>
      <c r="G54" s="20">
        <f>'SC_Loop 1'!G54</f>
        <v>8.0000000000000004E-4</v>
      </c>
      <c r="H54" s="57">
        <f t="shared" si="3"/>
        <v>0</v>
      </c>
      <c r="I54" s="49" t="str">
        <f t="shared" si="14"/>
        <v xml:space="preserve"> </v>
      </c>
      <c r="J54" s="49"/>
      <c r="K54" s="49"/>
      <c r="L54" s="49" t="str">
        <f t="shared" si="13"/>
        <v xml:space="preserve"> </v>
      </c>
      <c r="M54" s="106" t="str">
        <f t="shared" si="15"/>
        <v xml:space="preserve"> </v>
      </c>
      <c r="O54" s="13" t="str">
        <f>IF(AND(C53&gt;0),"Info: External 24V needed. EN 54-4 certificate."," ")</f>
        <v xml:space="preserve"> </v>
      </c>
    </row>
    <row r="55" spans="1:15" ht="25" x14ac:dyDescent="0.25">
      <c r="A55" s="115" t="str">
        <f>'SC_Loop 1'!A55</f>
        <v>MAD-565-I (loop)</v>
      </c>
      <c r="B55" s="208" t="str">
        <f>'SC_Loop 1'!B55</f>
        <v>Addressable sounder with VAD and isolator</v>
      </c>
      <c r="C55" s="97"/>
      <c r="D55" s="20">
        <f>'SC_Loop 1'!D55</f>
        <v>1.58E-3</v>
      </c>
      <c r="E55" s="57">
        <f t="shared" si="2"/>
        <v>0</v>
      </c>
      <c r="F55" s="199">
        <f>C55*'System Calculation'!$I$13</f>
        <v>0</v>
      </c>
      <c r="G55" s="20">
        <f>'SC_Loop 1'!G55</f>
        <v>3.3450000000000001E-2</v>
      </c>
      <c r="H55" s="57">
        <f t="shared" si="3"/>
        <v>0</v>
      </c>
      <c r="I55" s="49" t="str">
        <f t="shared" si="14"/>
        <v xml:space="preserve"> </v>
      </c>
      <c r="J55" s="49"/>
      <c r="K55" s="49"/>
      <c r="L55" s="49" t="str">
        <f t="shared" si="13"/>
        <v xml:space="preserve"> </v>
      </c>
      <c r="M55" s="106" t="str">
        <f t="shared" si="15"/>
        <v xml:space="preserve"> </v>
      </c>
    </row>
    <row r="56" spans="1:15" ht="25" x14ac:dyDescent="0.25">
      <c r="A56" s="115" t="str">
        <f>'SC_Loop 1'!A56</f>
        <v>MAD-565-I (External PS)</v>
      </c>
      <c r="B56" s="208" t="str">
        <f>'SC_Loop 1'!B56</f>
        <v>Addressable sounder with VAD and isolator</v>
      </c>
      <c r="C56" s="97"/>
      <c r="D56" s="20">
        <f>'SC_Loop 1'!D56</f>
        <v>3.5E-4</v>
      </c>
      <c r="E56" s="57">
        <f t="shared" si="2"/>
        <v>0</v>
      </c>
      <c r="F56" s="199">
        <f>C56*'System Calculation'!$I$13</f>
        <v>0</v>
      </c>
      <c r="G56" s="20">
        <f>'SC_Loop 1'!G56</f>
        <v>8.0000000000000004E-4</v>
      </c>
      <c r="H56" s="57">
        <f t="shared" si="3"/>
        <v>0</v>
      </c>
      <c r="I56" s="49" t="str">
        <f t="shared" si="14"/>
        <v xml:space="preserve"> </v>
      </c>
      <c r="J56" s="49"/>
      <c r="K56" s="49"/>
      <c r="L56" s="49" t="str">
        <f t="shared" si="13"/>
        <v xml:space="preserve"> </v>
      </c>
      <c r="M56" s="106" t="str">
        <f t="shared" si="15"/>
        <v xml:space="preserve"> </v>
      </c>
      <c r="O56" s="13" t="str">
        <f>IF(AND(C55&gt;0),"Info: External 24V needed. EN 54-4 certificate."," ")</f>
        <v xml:space="preserve"> </v>
      </c>
    </row>
    <row r="57" spans="1:15" ht="25" x14ac:dyDescent="0.25">
      <c r="A57" s="115" t="str">
        <f>'SC_Loop 1'!A57</f>
        <v>MAD-565-I - only flash (loop)</v>
      </c>
      <c r="B57" s="208" t="str">
        <f>'SC_Loop 1'!B57</f>
        <v>Addressable VAD with isolator</v>
      </c>
      <c r="C57" s="97"/>
      <c r="D57" s="20">
        <f>'SC_Loop 1'!D57</f>
        <v>1.58E-3</v>
      </c>
      <c r="E57" s="57">
        <f>C57*D57</f>
        <v>0</v>
      </c>
      <c r="F57" s="199">
        <f>C57*'System Calculation'!$I$13</f>
        <v>0</v>
      </c>
      <c r="G57" s="20">
        <f>'SC_Loop 1'!G57</f>
        <v>3.3450000000000001E-2</v>
      </c>
      <c r="H57" s="57">
        <f t="shared" si="3"/>
        <v>0</v>
      </c>
      <c r="I57" s="49" t="str">
        <f t="shared" si="14"/>
        <v xml:space="preserve"> </v>
      </c>
      <c r="J57" s="49"/>
      <c r="K57" s="49"/>
      <c r="L57" s="49" t="str">
        <f t="shared" si="13"/>
        <v xml:space="preserve"> </v>
      </c>
      <c r="M57" s="106" t="str">
        <f t="shared" si="15"/>
        <v xml:space="preserve"> </v>
      </c>
    </row>
    <row r="58" spans="1:15" ht="25" x14ac:dyDescent="0.25">
      <c r="A58" s="115" t="str">
        <f>'SC_Loop 1'!A58</f>
        <v>MAD-565-I - only flash (External PS)</v>
      </c>
      <c r="B58" s="208" t="str">
        <f>'SC_Loop 1'!B58</f>
        <v>Addressable VAD with isolator</v>
      </c>
      <c r="C58" s="97"/>
      <c r="D58" s="20">
        <f>'SC_Loop 1'!D58</f>
        <v>3.5E-4</v>
      </c>
      <c r="E58" s="57">
        <f t="shared" ref="E58" si="16">C58*D58</f>
        <v>0</v>
      </c>
      <c r="F58" s="199">
        <f>C58*'System Calculation'!$I$13</f>
        <v>0</v>
      </c>
      <c r="G58" s="20">
        <f>'SC_Loop 1'!G58</f>
        <v>8.0000000000000004E-4</v>
      </c>
      <c r="H58" s="57">
        <f t="shared" si="3"/>
        <v>0</v>
      </c>
      <c r="I58" s="49" t="str">
        <f t="shared" si="14"/>
        <v xml:space="preserve"> </v>
      </c>
      <c r="J58" s="49"/>
      <c r="K58" s="49"/>
      <c r="L58" s="49" t="str">
        <f t="shared" si="13"/>
        <v xml:space="preserve"> </v>
      </c>
      <c r="M58" s="106" t="str">
        <f t="shared" si="15"/>
        <v xml:space="preserve"> </v>
      </c>
      <c r="O58" s="13" t="str">
        <f>IF(AND(C57&gt;0),"Info: External 24V needed. EN 54-4 certificate."," ")</f>
        <v xml:space="preserve"> </v>
      </c>
    </row>
    <row r="59" spans="1:15" ht="25" x14ac:dyDescent="0.25">
      <c r="A59" s="115" t="str">
        <f>'SC_Loop 1'!A59</f>
        <v>MAD-567-I (loop)</v>
      </c>
      <c r="B59" s="208" t="str">
        <f>'SC_Loop 1'!B59</f>
        <v>Sounder base with isolator</v>
      </c>
      <c r="C59" s="97"/>
      <c r="D59" s="20">
        <f>'SC_Loop 1'!D59</f>
        <v>1.17E-3</v>
      </c>
      <c r="E59" s="57">
        <f t="shared" si="2"/>
        <v>0</v>
      </c>
      <c r="F59" s="199">
        <f>C59*'System Calculation'!$I$13</f>
        <v>0</v>
      </c>
      <c r="G59" s="20">
        <f>'SC_Loop 1'!G59</f>
        <v>8.9499999999999996E-3</v>
      </c>
      <c r="H59" s="57">
        <f t="shared" si="3"/>
        <v>0</v>
      </c>
      <c r="I59" s="49" t="str">
        <f t="shared" si="14"/>
        <v xml:space="preserve"> </v>
      </c>
      <c r="J59" s="49"/>
      <c r="K59" s="49"/>
      <c r="L59" s="49" t="str">
        <f t="shared" si="13"/>
        <v xml:space="preserve"> </v>
      </c>
      <c r="M59" s="106" t="str">
        <f t="shared" si="15"/>
        <v xml:space="preserve"> </v>
      </c>
    </row>
    <row r="60" spans="1:15" ht="25" x14ac:dyDescent="0.25">
      <c r="A60" s="115" t="str">
        <f>'SC_Loop 1'!A60</f>
        <v>MAD-567-I (External PS)</v>
      </c>
      <c r="B60" s="208" t="str">
        <f>'SC_Loop 1'!B60</f>
        <v>Sounder base with isolator</v>
      </c>
      <c r="C60" s="97"/>
      <c r="D60" s="20">
        <f>'SC_Loop 1'!D60</f>
        <v>2.61E-4</v>
      </c>
      <c r="E60" s="57">
        <f t="shared" si="2"/>
        <v>0</v>
      </c>
      <c r="F60" s="199">
        <f>C60*'System Calculation'!$I$13</f>
        <v>0</v>
      </c>
      <c r="G60" s="20">
        <f>'SC_Loop 1'!G60</f>
        <v>7.1000000000000002E-4</v>
      </c>
      <c r="H60" s="57">
        <f t="shared" si="3"/>
        <v>0</v>
      </c>
      <c r="I60" s="49" t="str">
        <f t="shared" si="14"/>
        <v xml:space="preserve"> </v>
      </c>
      <c r="J60" s="49"/>
      <c r="K60" s="49"/>
      <c r="L60" s="49" t="str">
        <f t="shared" si="13"/>
        <v xml:space="preserve"> </v>
      </c>
      <c r="M60" s="106" t="str">
        <f t="shared" si="15"/>
        <v xml:space="preserve"> </v>
      </c>
      <c r="O60" s="13" t="str">
        <f>IF(AND(C59&gt;0),"Info: External 24V needed. EN 54-4 certificate."," ")</f>
        <v xml:space="preserve"> </v>
      </c>
    </row>
    <row r="61" spans="1:15" ht="25" x14ac:dyDescent="0.25">
      <c r="A61" s="115" t="str">
        <f>'SC_Loop 1'!A61</f>
        <v>MAD-569-I (loop)</v>
      </c>
      <c r="B61" s="208" t="str">
        <f>'SC_Loop 1'!B61</f>
        <v>Sounder &amp; VAD base with isolator</v>
      </c>
      <c r="C61" s="97"/>
      <c r="D61" s="20">
        <f>'SC_Loop 1'!D61</f>
        <v>1.17E-3</v>
      </c>
      <c r="E61" s="57">
        <f t="shared" si="2"/>
        <v>0</v>
      </c>
      <c r="F61" s="199">
        <f>C61*'System Calculation'!$I$13</f>
        <v>0</v>
      </c>
      <c r="G61" s="20">
        <f>'SC_Loop 1'!G61</f>
        <v>2.3260000000000003E-2</v>
      </c>
      <c r="H61" s="57">
        <f t="shared" si="3"/>
        <v>0</v>
      </c>
      <c r="I61" s="49" t="str">
        <f t="shared" si="14"/>
        <v xml:space="preserve"> </v>
      </c>
      <c r="J61" s="49"/>
      <c r="K61" s="49"/>
      <c r="L61" s="49" t="str">
        <f t="shared" si="13"/>
        <v xml:space="preserve"> </v>
      </c>
      <c r="M61" s="106" t="str">
        <f t="shared" si="15"/>
        <v xml:space="preserve"> </v>
      </c>
    </row>
    <row r="62" spans="1:15" ht="25" x14ac:dyDescent="0.25">
      <c r="A62" s="115" t="str">
        <f>'SC_Loop 1'!A62</f>
        <v>MAD-569-I (External PS)</v>
      </c>
      <c r="B62" s="208" t="str">
        <f>'SC_Loop 1'!B62</f>
        <v>Sounder &amp; VAD base with isolator</v>
      </c>
      <c r="C62" s="97"/>
      <c r="D62" s="20">
        <f>'SC_Loop 1'!D62</f>
        <v>2.5889999999999995E-4</v>
      </c>
      <c r="E62" s="57">
        <f t="shared" si="2"/>
        <v>0</v>
      </c>
      <c r="F62" s="199">
        <f>C62*'System Calculation'!$I$13</f>
        <v>0</v>
      </c>
      <c r="G62" s="20">
        <f>'SC_Loop 1'!G62</f>
        <v>7.1000000000000002E-4</v>
      </c>
      <c r="H62" s="57">
        <f t="shared" si="3"/>
        <v>0</v>
      </c>
      <c r="I62" s="49" t="str">
        <f t="shared" si="14"/>
        <v xml:space="preserve"> </v>
      </c>
      <c r="J62" s="49"/>
      <c r="K62" s="49"/>
      <c r="L62" s="49" t="str">
        <f t="shared" si="13"/>
        <v xml:space="preserve"> </v>
      </c>
      <c r="M62" s="106" t="str">
        <f t="shared" si="15"/>
        <v xml:space="preserve"> </v>
      </c>
      <c r="O62" s="13" t="str">
        <f>IF(AND(C61&gt;0),"Info: External 24V needed. EN 54-4 certificate."," ")</f>
        <v xml:space="preserve"> </v>
      </c>
    </row>
    <row r="63" spans="1:15" ht="25" x14ac:dyDescent="0.25">
      <c r="A63" s="115" t="str">
        <f>'SC_Loop 1'!A63</f>
        <v>MAD-569-I - only flash (loop)</v>
      </c>
      <c r="B63" s="208" t="str">
        <f>'SC_Loop 1'!B63</f>
        <v>VAD base with isolator</v>
      </c>
      <c r="C63" s="97"/>
      <c r="D63" s="20">
        <f>'SC_Loop 1'!D63</f>
        <v>1.17E-3</v>
      </c>
      <c r="E63" s="57">
        <f t="shared" si="2"/>
        <v>0</v>
      </c>
      <c r="F63" s="199">
        <f>C63*'System Calculation'!$I$13</f>
        <v>0</v>
      </c>
      <c r="G63" s="20">
        <f>'SC_Loop 1'!G63</f>
        <v>2.3260000000000003E-2</v>
      </c>
      <c r="H63" s="57">
        <f t="shared" si="3"/>
        <v>0</v>
      </c>
      <c r="I63" s="49" t="str">
        <f t="shared" si="14"/>
        <v xml:space="preserve"> </v>
      </c>
      <c r="J63" s="49"/>
      <c r="K63" s="49"/>
      <c r="L63" s="49" t="str">
        <f t="shared" si="13"/>
        <v xml:space="preserve"> </v>
      </c>
      <c r="M63" s="106" t="str">
        <f t="shared" si="15"/>
        <v xml:space="preserve"> </v>
      </c>
    </row>
    <row r="64" spans="1:15" ht="25" x14ac:dyDescent="0.25">
      <c r="A64" s="115" t="str">
        <f>'SC_Loop 1'!A64</f>
        <v>MAD-569-I only flash (External PS)</v>
      </c>
      <c r="B64" s="208" t="str">
        <f>'SC_Loop 1'!B64</f>
        <v>VAD base with isolator</v>
      </c>
      <c r="C64" s="97"/>
      <c r="D64" s="20">
        <f>'SC_Loop 1'!D64</f>
        <v>2.5889999999999995E-4</v>
      </c>
      <c r="E64" s="57">
        <f t="shared" si="2"/>
        <v>0</v>
      </c>
      <c r="F64" s="199">
        <f>C64*'System Calculation'!$I$13</f>
        <v>0</v>
      </c>
      <c r="G64" s="20">
        <f>'SC_Loop 1'!G64</f>
        <v>7.1000000000000002E-4</v>
      </c>
      <c r="H64" s="57">
        <f t="shared" si="3"/>
        <v>0</v>
      </c>
      <c r="I64" s="49" t="str">
        <f t="shared" si="14"/>
        <v xml:space="preserve"> </v>
      </c>
      <c r="J64" s="49"/>
      <c r="K64" s="49"/>
      <c r="L64" s="49" t="str">
        <f t="shared" si="13"/>
        <v xml:space="preserve"> </v>
      </c>
      <c r="M64" s="106" t="str">
        <f t="shared" si="15"/>
        <v xml:space="preserve"> </v>
      </c>
      <c r="O64" s="13" t="str">
        <f>IF(AND(C63&gt;0),"Info: External 24V needed. EN 54-4 certificate."," ")</f>
        <v xml:space="preserve"> </v>
      </c>
    </row>
    <row r="65" spans="1:15" x14ac:dyDescent="0.25">
      <c r="A65" s="115" t="str">
        <f>'SC_Loop 1'!A65</f>
        <v>MAD-472</v>
      </c>
      <c r="B65" s="208" t="str">
        <f>'SC_Loop 1'!B65</f>
        <v>Sounder base</v>
      </c>
      <c r="C65" s="97"/>
      <c r="D65" s="20">
        <f>'SC_Loop 1'!D65</f>
        <v>1.0739999999999999E-4</v>
      </c>
      <c r="E65" s="57">
        <f>C65*D65</f>
        <v>0</v>
      </c>
      <c r="F65" s="199">
        <f>C65*'System Calculation'!$I$13</f>
        <v>0</v>
      </c>
      <c r="G65" s="20">
        <f>'SC_Loop 1'!G65</f>
        <v>8.4499999999999992E-3</v>
      </c>
      <c r="H65" s="57">
        <f t="shared" si="3"/>
        <v>0</v>
      </c>
      <c r="I65" s="49" t="str">
        <f t="shared" si="14"/>
        <v xml:space="preserve"> </v>
      </c>
      <c r="J65" s="49"/>
      <c r="K65" s="49"/>
      <c r="L65" s="49" t="str">
        <f t="shared" si="13"/>
        <v xml:space="preserve"> </v>
      </c>
      <c r="M65" s="106" t="str">
        <f t="shared" si="15"/>
        <v xml:space="preserve"> </v>
      </c>
      <c r="O65" s="13" t="str">
        <f>IF(AND(C65&gt;0),"Info: External 24V needed. EN 54-4 certificate."," ")</f>
        <v xml:space="preserve"> </v>
      </c>
    </row>
    <row r="66" spans="1:15" ht="25" x14ac:dyDescent="0.25">
      <c r="A66" s="115" t="str">
        <f>'SC_Loop 1'!A66</f>
        <v>MAD-473</v>
      </c>
      <c r="B66" s="208" t="str">
        <f>'SC_Loop 1'!B66</f>
        <v>Sounder base with flash</v>
      </c>
      <c r="C66" s="97"/>
      <c r="D66" s="20">
        <f>'SC_Loop 1'!D66</f>
        <v>1.0679999999999999E-4</v>
      </c>
      <c r="E66" s="57">
        <f t="shared" si="2"/>
        <v>0</v>
      </c>
      <c r="F66" s="199">
        <f>C66*'System Calculation'!$I$13</f>
        <v>0</v>
      </c>
      <c r="G66" s="20">
        <f>'SC_Loop 1'!G66</f>
        <v>9.4800000000000006E-3</v>
      </c>
      <c r="H66" s="57">
        <f t="shared" si="3"/>
        <v>0</v>
      </c>
      <c r="I66" s="49" t="str">
        <f t="shared" si="14"/>
        <v xml:space="preserve"> </v>
      </c>
      <c r="J66" s="49"/>
      <c r="K66" s="49"/>
      <c r="L66" s="49" t="str">
        <f t="shared" si="13"/>
        <v xml:space="preserve"> </v>
      </c>
      <c r="M66" s="106" t="str">
        <f t="shared" si="15"/>
        <v xml:space="preserve"> </v>
      </c>
    </row>
    <row r="67" spans="1:15" ht="25" x14ac:dyDescent="0.25">
      <c r="A67" s="115" t="str">
        <f>'SC_Loop 1'!A67</f>
        <v>MAD-481</v>
      </c>
      <c r="B67" s="208" t="str">
        <f>'SC_Loop 1'!B67</f>
        <v>1 output 230V addressable module</v>
      </c>
      <c r="C67" s="97"/>
      <c r="D67" s="20">
        <f>'SC_Loop 1'!D67</f>
        <v>2.9999999999999997E-4</v>
      </c>
      <c r="E67" s="57">
        <f t="shared" si="2"/>
        <v>0</v>
      </c>
      <c r="F67" s="199">
        <f>C67*'System Calculation'!$I$14</f>
        <v>0</v>
      </c>
      <c r="G67" s="20">
        <f>'SC_Loop 1'!G67</f>
        <v>3.0000000000000001E-3</v>
      </c>
      <c r="H67" s="57">
        <f t="shared" si="3"/>
        <v>0</v>
      </c>
      <c r="I67" s="49"/>
      <c r="J67" s="49"/>
      <c r="K67" s="49" t="str">
        <f>IF(C67&lt;&gt;0,C67," ")</f>
        <v xml:space="preserve"> </v>
      </c>
      <c r="L67" s="49"/>
      <c r="M67" s="106" t="str">
        <f>IF(K67&lt;&gt;0,K67," ")</f>
        <v xml:space="preserve"> </v>
      </c>
    </row>
    <row r="68" spans="1:15" ht="37.5" x14ac:dyDescent="0.25">
      <c r="A68" s="115" t="str">
        <f>'SC_Loop 1'!A68</f>
        <v>MAD-481-I</v>
      </c>
      <c r="B68" s="208" t="str">
        <f>'SC_Loop 1'!B68</f>
        <v>1 output 230V addressable module with isolator</v>
      </c>
      <c r="C68" s="97"/>
      <c r="D68" s="20">
        <f>'SC_Loop 1'!D68</f>
        <v>2.9999999999999997E-4</v>
      </c>
      <c r="E68" s="57">
        <f t="shared" si="2"/>
        <v>0</v>
      </c>
      <c r="F68" s="199">
        <f>C68*'System Calculation'!$I$14</f>
        <v>0</v>
      </c>
      <c r="G68" s="20">
        <f>'SC_Loop 1'!G68</f>
        <v>3.0000000000000001E-3</v>
      </c>
      <c r="H68" s="57">
        <f t="shared" si="3"/>
        <v>0</v>
      </c>
      <c r="I68" s="49"/>
      <c r="J68" s="49"/>
      <c r="K68" s="49" t="str">
        <f>IF(C68&lt;&gt;0,C68," ")</f>
        <v xml:space="preserve"> </v>
      </c>
      <c r="L68" s="49"/>
      <c r="M68" s="106" t="str">
        <f t="shared" ref="M68:M69" si="17">IF(K68&lt;&gt;0,K68," ")</f>
        <v xml:space="preserve"> </v>
      </c>
      <c r="O68" s="13"/>
    </row>
    <row r="69" spans="1:15" x14ac:dyDescent="0.25">
      <c r="A69" s="115" t="str">
        <f>'SC_Loop 1'!A69</f>
        <v>MAD-490</v>
      </c>
      <c r="B69" s="208" t="str">
        <f>'SC_Loop 1'!B69</f>
        <v>Isolator module</v>
      </c>
      <c r="C69" s="97"/>
      <c r="D69" s="20">
        <f>'SC_Loop 1'!D69</f>
        <v>6.9599999999999998E-5</v>
      </c>
      <c r="E69" s="57">
        <f t="shared" si="2"/>
        <v>0</v>
      </c>
      <c r="F69" s="199">
        <f>C69*'System Calculation'!$I$14</f>
        <v>0</v>
      </c>
      <c r="G69" s="20">
        <f>'SC_Loop 1'!G69</f>
        <v>3.7659999999999999E-2</v>
      </c>
      <c r="H69" s="57">
        <f t="shared" si="3"/>
        <v>0</v>
      </c>
      <c r="I69" s="49"/>
      <c r="J69" s="49"/>
      <c r="K69" s="49" t="str">
        <f>IF(C69&lt;&gt;0,C69," ")</f>
        <v xml:space="preserve"> </v>
      </c>
      <c r="L69" s="49"/>
      <c r="M69" s="106" t="str">
        <f t="shared" si="17"/>
        <v xml:space="preserve"> </v>
      </c>
    </row>
    <row r="70" spans="1:15" ht="25" x14ac:dyDescent="0.25">
      <c r="A70" s="115" t="str">
        <f>'SC_Loop 1'!A70</f>
        <v>PAD-10A-I</v>
      </c>
      <c r="B70" s="208" t="str">
        <f>'SC_Loop 1'!B70</f>
        <v>Remote indicator with isolator</v>
      </c>
      <c r="C70" s="97"/>
      <c r="D70" s="20">
        <f>'SC_Loop 1'!D70</f>
        <v>1.7640000000000001E-4</v>
      </c>
      <c r="E70" s="57">
        <f t="shared" si="2"/>
        <v>0</v>
      </c>
      <c r="F70" s="199">
        <f>IF(C70&gt;10,10,C70)</f>
        <v>0</v>
      </c>
      <c r="G70" s="20">
        <f>'SC_Loop 1'!G70</f>
        <v>2.98E-3</v>
      </c>
      <c r="H70" s="57">
        <f t="shared" si="3"/>
        <v>0</v>
      </c>
      <c r="I70" s="49"/>
      <c r="J70" s="49" t="str">
        <f t="shared" ref="J70" si="18">IF(C70&lt;&gt;0,C70," ")</f>
        <v xml:space="preserve"> </v>
      </c>
      <c r="K70" s="49"/>
      <c r="L70" s="49"/>
      <c r="M70" s="106" t="str">
        <f t="shared" si="4"/>
        <v xml:space="preserve"> </v>
      </c>
    </row>
    <row r="71" spans="1:15" ht="37.5" x14ac:dyDescent="0.25">
      <c r="A71" s="115" t="str">
        <f>'SC_Loop 1'!A71</f>
        <v>TPLD-100 (CCD-102) = 3 loop address</v>
      </c>
      <c r="B71" s="208" t="str">
        <f>'SC_Loop 1'!B71</f>
        <v>2 zones fire alarm control panel connected to loop</v>
      </c>
      <c r="C71" s="97"/>
      <c r="D71" s="20">
        <f>'SC_Loop 1'!D71</f>
        <v>1.8629999999999999E-3</v>
      </c>
      <c r="E71" s="57">
        <f t="shared" si="2"/>
        <v>0</v>
      </c>
      <c r="F71" s="199">
        <f>C71</f>
        <v>0</v>
      </c>
      <c r="G71" s="20">
        <f>'SC_Loop 1'!G71</f>
        <v>1.8600000000000001E-3</v>
      </c>
      <c r="H71" s="57">
        <f t="shared" si="3"/>
        <v>0</v>
      </c>
      <c r="I71" s="49"/>
      <c r="J71" s="49"/>
      <c r="K71" s="49"/>
      <c r="L71" s="49"/>
      <c r="M71" s="106" t="str">
        <f>IF(C75&lt;&gt;0,3*C75," ")</f>
        <v xml:space="preserve"> </v>
      </c>
    </row>
    <row r="72" spans="1:15" ht="37.5" x14ac:dyDescent="0.25">
      <c r="A72" s="115" t="str">
        <f>'SC_Loop 1'!A72</f>
        <v>TPLD-100 (CCD-104) = 5 loop address</v>
      </c>
      <c r="B72" s="208" t="str">
        <f>'SC_Loop 1'!B72</f>
        <v>4 zones fire alarm control panel connected to loop</v>
      </c>
      <c r="C72" s="97"/>
      <c r="D72" s="20">
        <f>'SC_Loop 1'!D72</f>
        <v>1.8629999999999999E-3</v>
      </c>
      <c r="E72" s="57">
        <f t="shared" si="2"/>
        <v>0</v>
      </c>
      <c r="F72" s="199">
        <f t="shared" ref="F72:F75" si="19">C72</f>
        <v>0</v>
      </c>
      <c r="G72" s="20">
        <f>'SC_Loop 1'!G72</f>
        <v>1.8600000000000001E-3</v>
      </c>
      <c r="H72" s="57">
        <f t="shared" si="3"/>
        <v>0</v>
      </c>
      <c r="I72" s="49"/>
      <c r="J72" s="49"/>
      <c r="K72" s="49"/>
      <c r="L72" s="49"/>
      <c r="M72" s="106" t="str">
        <f>IF(C75&lt;&gt;0,5*C75," ")</f>
        <v xml:space="preserve"> </v>
      </c>
    </row>
    <row r="73" spans="1:15" ht="37.5" x14ac:dyDescent="0.25">
      <c r="A73" s="115" t="str">
        <f>'SC_Loop 1'!A73</f>
        <v>TPLD-100 (CCD-108) = 9 loop address</v>
      </c>
      <c r="B73" s="208" t="str">
        <f>'SC_Loop 1'!B73</f>
        <v>8 zones fire alarm control panel connected to loop</v>
      </c>
      <c r="C73" s="97"/>
      <c r="D73" s="20">
        <f>'SC_Loop 1'!D73</f>
        <v>1.8629999999999999E-3</v>
      </c>
      <c r="E73" s="57">
        <f t="shared" si="2"/>
        <v>0</v>
      </c>
      <c r="F73" s="199">
        <f t="shared" si="19"/>
        <v>0</v>
      </c>
      <c r="G73" s="20">
        <f>'SC_Loop 1'!G73</f>
        <v>1.8600000000000001E-3</v>
      </c>
      <c r="H73" s="57">
        <f t="shared" si="3"/>
        <v>0</v>
      </c>
      <c r="I73" s="49"/>
      <c r="J73" s="49"/>
      <c r="K73" s="49"/>
      <c r="L73" s="49"/>
      <c r="M73" s="106" t="str">
        <f>IF(C75&lt;&gt;0,9*C75," ")</f>
        <v xml:space="preserve"> </v>
      </c>
    </row>
    <row r="74" spans="1:15" ht="37.5" x14ac:dyDescent="0.25">
      <c r="A74" s="115" t="str">
        <f>'SC_Loop 1'!A74</f>
        <v>TPLD-100 (CCD-112) = 13 loop address</v>
      </c>
      <c r="B74" s="208" t="str">
        <f>'SC_Loop 1'!B74</f>
        <v>12 zones fire alarm control panel connected to loop</v>
      </c>
      <c r="C74" s="97"/>
      <c r="D74" s="20">
        <f>'SC_Loop 1'!D74</f>
        <v>1.8629999999999999E-3</v>
      </c>
      <c r="E74" s="57">
        <f t="shared" si="2"/>
        <v>0</v>
      </c>
      <c r="F74" s="199">
        <f t="shared" si="19"/>
        <v>0</v>
      </c>
      <c r="G74" s="20">
        <f>'SC_Loop 1'!G74</f>
        <v>1.8600000000000001E-3</v>
      </c>
      <c r="H74" s="57">
        <f t="shared" si="3"/>
        <v>0</v>
      </c>
      <c r="I74" s="49"/>
      <c r="J74" s="49"/>
      <c r="K74" s="49"/>
      <c r="L74" s="49"/>
      <c r="M74" s="106" t="str">
        <f>IF(C75&lt;&gt;0,13*C75," ")</f>
        <v xml:space="preserve"> </v>
      </c>
    </row>
    <row r="75" spans="1:15" ht="38.5" thickBot="1" x14ac:dyDescent="0.35">
      <c r="A75" s="115" t="str">
        <f>'SC_Loop 1'!A75</f>
        <v>TPLD-100 (CCD-103) = 7 loop address</v>
      </c>
      <c r="B75" s="208" t="str">
        <f>'SC_Loop 1'!B75</f>
        <v>Extinguishing control panel connected to loop</v>
      </c>
      <c r="C75" s="97"/>
      <c r="D75" s="171">
        <f>'SC_Loop 1'!D75</f>
        <v>1.8629999999999999E-3</v>
      </c>
      <c r="E75" s="111">
        <f t="shared" si="2"/>
        <v>0</v>
      </c>
      <c r="F75" s="199">
        <f t="shared" si="19"/>
        <v>0</v>
      </c>
      <c r="G75" s="171">
        <f>'SC_Loop 1'!G75</f>
        <v>1.8600000000000001E-3</v>
      </c>
      <c r="H75" s="111">
        <f t="shared" si="3"/>
        <v>0</v>
      </c>
      <c r="I75" s="39"/>
      <c r="J75" s="39"/>
      <c r="K75" s="39"/>
      <c r="L75" s="121"/>
      <c r="M75" s="112" t="str">
        <f>IF(C75&lt;&gt;0,7*C75," ")</f>
        <v xml:space="preserve"> </v>
      </c>
    </row>
    <row r="76" spans="1:15" s="7" customFormat="1" ht="13.5" thickBot="1" x14ac:dyDescent="0.35">
      <c r="A76" s="15" t="s">
        <v>8</v>
      </c>
      <c r="B76" s="205"/>
      <c r="C76" s="62">
        <f>SUM(C15:C69)+SUM(M72:M75)</f>
        <v>0</v>
      </c>
      <c r="D76" s="213"/>
      <c r="E76" s="59">
        <f>SUM(E15:E75)</f>
        <v>0</v>
      </c>
      <c r="F76" s="61">
        <f>SUM(F15:F69)</f>
        <v>0</v>
      </c>
      <c r="G76" s="212"/>
      <c r="H76" s="59">
        <f t="shared" ref="H76:M76" si="20">SUM(H15:H75)</f>
        <v>0</v>
      </c>
      <c r="I76" s="59">
        <f t="shared" si="20"/>
        <v>0</v>
      </c>
      <c r="J76" s="62">
        <f t="shared" si="20"/>
        <v>0</v>
      </c>
      <c r="K76" s="62">
        <f t="shared" si="20"/>
        <v>0</v>
      </c>
      <c r="L76" s="62">
        <f t="shared" si="20"/>
        <v>0</v>
      </c>
      <c r="M76" s="122">
        <f t="shared" si="20"/>
        <v>0</v>
      </c>
      <c r="O76"/>
    </row>
    <row r="77" spans="1:15" s="7" customFormat="1" ht="13" x14ac:dyDescent="0.3">
      <c r="C77" s="102"/>
      <c r="D77" s="103"/>
      <c r="E77" s="104"/>
      <c r="F77" s="105"/>
      <c r="G77" s="104"/>
      <c r="H77" s="104"/>
      <c r="I77" s="104"/>
      <c r="J77" s="104"/>
      <c r="K77" s="104"/>
      <c r="L77" s="102"/>
      <c r="M77" s="102"/>
    </row>
    <row r="78" spans="1:15" ht="14.4" customHeight="1" thickBot="1" x14ac:dyDescent="0.35">
      <c r="F78" s="26"/>
      <c r="L78" s="130" t="str">
        <f>IF($M$76&gt;250,"Error: The Loop cannot contain more than 250 addresses","")</f>
        <v/>
      </c>
      <c r="O78" s="7"/>
    </row>
    <row r="79" spans="1:15" ht="14.4" customHeight="1" thickBot="1" x14ac:dyDescent="0.35">
      <c r="A79" s="15" t="s">
        <v>136</v>
      </c>
      <c r="B79" s="113"/>
      <c r="C79" s="114"/>
      <c r="D79" s="26"/>
    </row>
    <row r="80" spans="1:15" ht="14.4" customHeight="1" x14ac:dyDescent="0.3">
      <c r="A80" s="96" t="s">
        <v>137</v>
      </c>
      <c r="B80" s="120">
        <v>1.72E-2</v>
      </c>
      <c r="C80" s="117" t="s">
        <v>138</v>
      </c>
      <c r="D80" s="26"/>
    </row>
    <row r="81" spans="1:12" ht="14.4" customHeight="1" x14ac:dyDescent="0.3">
      <c r="A81" s="21" t="s">
        <v>139</v>
      </c>
      <c r="B81" s="119">
        <f>E76</f>
        <v>0</v>
      </c>
      <c r="C81" s="95" t="s">
        <v>9</v>
      </c>
      <c r="D81" s="26"/>
    </row>
    <row r="82" spans="1:12" ht="14.4" customHeight="1" x14ac:dyDescent="0.3">
      <c r="A82" s="21" t="s">
        <v>140</v>
      </c>
      <c r="B82" s="119">
        <f>H76-I76</f>
        <v>0</v>
      </c>
      <c r="C82" s="95" t="s">
        <v>9</v>
      </c>
      <c r="D82" s="26"/>
    </row>
    <row r="83" spans="1:12" ht="14.4" customHeight="1" x14ac:dyDescent="0.3">
      <c r="A83" s="21" t="s">
        <v>141</v>
      </c>
      <c r="B83" s="119">
        <f>I76</f>
        <v>0</v>
      </c>
      <c r="C83" s="95" t="s">
        <v>9</v>
      </c>
      <c r="D83" s="26"/>
    </row>
    <row r="84" spans="1:12" ht="14.4" customHeight="1" x14ac:dyDescent="0.3">
      <c r="A84" s="21" t="s">
        <v>142</v>
      </c>
      <c r="B84" s="119">
        <f>SUM(B82:B83)</f>
        <v>0</v>
      </c>
      <c r="C84" s="95" t="s">
        <v>9</v>
      </c>
      <c r="D84" s="26"/>
    </row>
    <row r="85" spans="1:12" ht="14.4" customHeight="1" thickBot="1" x14ac:dyDescent="0.35">
      <c r="A85" s="22" t="s">
        <v>143</v>
      </c>
      <c r="B85" s="107">
        <v>6.9</v>
      </c>
      <c r="C85" s="28" t="s">
        <v>144</v>
      </c>
      <c r="D85" s="26"/>
    </row>
    <row r="86" spans="1:12" ht="14.4" customHeight="1" thickBot="1" x14ac:dyDescent="0.35">
      <c r="A86" s="13"/>
      <c r="E86" s="26"/>
    </row>
    <row r="87" spans="1:12" ht="14.4" customHeight="1" thickBot="1" x14ac:dyDescent="0.35">
      <c r="A87" s="8" t="s">
        <v>154</v>
      </c>
      <c r="B87" s="127"/>
      <c r="C87" s="127"/>
      <c r="D87" s="127"/>
      <c r="E87" s="139"/>
      <c r="F87" s="127"/>
      <c r="G87" s="127"/>
      <c r="H87" s="127"/>
      <c r="I87" s="127"/>
      <c r="J87" s="127"/>
      <c r="K87" s="128"/>
      <c r="L87" s="131" t="s">
        <v>150</v>
      </c>
    </row>
    <row r="88" spans="1:12" ht="14.4" customHeight="1" x14ac:dyDescent="0.25">
      <c r="A88" s="145" t="s">
        <v>155</v>
      </c>
      <c r="B88" s="41">
        <v>1000</v>
      </c>
      <c r="C88" s="41">
        <v>1500</v>
      </c>
      <c r="D88" s="41"/>
      <c r="E88" s="41">
        <v>2000</v>
      </c>
      <c r="F88" s="41"/>
      <c r="G88" s="41"/>
      <c r="H88" s="41">
        <v>2500</v>
      </c>
      <c r="I88" s="41">
        <v>3000</v>
      </c>
      <c r="J88" s="141">
        <v>3500</v>
      </c>
      <c r="K88" s="132" t="s">
        <v>151</v>
      </c>
    </row>
    <row r="89" spans="1:12" ht="14.4" customHeight="1" x14ac:dyDescent="0.25">
      <c r="A89" s="48" t="s">
        <v>156</v>
      </c>
      <c r="B89" s="134" t="e">
        <f>((($B$80*B88)/B91)*2)</f>
        <v>#DIV/0!</v>
      </c>
      <c r="C89" s="134" t="e">
        <f t="shared" ref="C89" si="21">((($B$80*C88)/C91)*2)</f>
        <v>#DIV/0!</v>
      </c>
      <c r="D89" s="134"/>
      <c r="E89" s="134" t="e">
        <f t="shared" ref="E89:J89" si="22">((($B$80*E88)/E91)*2)</f>
        <v>#DIV/0!</v>
      </c>
      <c r="F89" s="134" t="e">
        <f t="shared" si="22"/>
        <v>#DIV/0!</v>
      </c>
      <c r="G89" s="134"/>
      <c r="H89" s="134" t="e">
        <f t="shared" si="22"/>
        <v>#DIV/0!</v>
      </c>
      <c r="I89" s="134" t="e">
        <f t="shared" si="22"/>
        <v>#DIV/0!</v>
      </c>
      <c r="J89" s="134" t="e">
        <f t="shared" si="22"/>
        <v>#DIV/0!</v>
      </c>
      <c r="K89" s="133" t="s">
        <v>152</v>
      </c>
    </row>
    <row r="90" spans="1:12" ht="14.4" customHeight="1" thickBot="1" x14ac:dyDescent="0.3">
      <c r="A90" s="144" t="s">
        <v>157</v>
      </c>
      <c r="B90" s="134" t="e">
        <f>B89/2</f>
        <v>#DIV/0!</v>
      </c>
      <c r="C90" s="134" t="e">
        <f t="shared" ref="C90" si="23">C89/2</f>
        <v>#DIV/0!</v>
      </c>
      <c r="D90" s="134"/>
      <c r="E90" s="134" t="e">
        <f t="shared" ref="E90:F90" si="24">E89/2</f>
        <v>#DIV/0!</v>
      </c>
      <c r="F90" s="134" t="e">
        <f t="shared" si="24"/>
        <v>#DIV/0!</v>
      </c>
      <c r="G90" s="134"/>
      <c r="H90" s="134" t="e">
        <f>H89/2</f>
        <v>#DIV/0!</v>
      </c>
      <c r="I90" s="134" t="e">
        <f>I89/2</f>
        <v>#DIV/0!</v>
      </c>
      <c r="J90" s="134" t="e">
        <f>J89/2</f>
        <v>#DIV/0!</v>
      </c>
      <c r="K90" s="143" t="s">
        <v>152</v>
      </c>
    </row>
    <row r="91" spans="1:12" ht="14.4" customHeight="1" thickBot="1" x14ac:dyDescent="0.35">
      <c r="A91" s="15" t="s">
        <v>158</v>
      </c>
      <c r="B91" s="168" t="e">
        <f t="shared" ref="B91:J91" si="25">IF((($B$80*B$88)/(($B$85-((SUM($C$16,$C$18,$C$20,$C$22)*0.155)*$B$84))/$B$84))&lt;0.5,0.5,(($B$80*B$88)/(($B$85-((SUM($C$16,$C$18,$C$20,$C$22)*0.155)*$B$84))/$B$84)))</f>
        <v>#DIV/0!</v>
      </c>
      <c r="C91" s="168" t="e">
        <f t="shared" si="25"/>
        <v>#DIV/0!</v>
      </c>
      <c r="D91" s="168" t="e">
        <f t="shared" si="25"/>
        <v>#DIV/0!</v>
      </c>
      <c r="E91" s="168" t="e">
        <f t="shared" si="25"/>
        <v>#DIV/0!</v>
      </c>
      <c r="F91" s="168" t="e">
        <f t="shared" si="25"/>
        <v>#DIV/0!</v>
      </c>
      <c r="G91" s="168" t="e">
        <f t="shared" si="25"/>
        <v>#DIV/0!</v>
      </c>
      <c r="H91" s="168" t="e">
        <f t="shared" si="25"/>
        <v>#DIV/0!</v>
      </c>
      <c r="I91" s="168" t="e">
        <f t="shared" si="25"/>
        <v>#DIV/0!</v>
      </c>
      <c r="J91" s="168" t="e">
        <f t="shared" si="25"/>
        <v>#DIV/0!</v>
      </c>
      <c r="K91" s="94" t="s">
        <v>130</v>
      </c>
    </row>
    <row r="92" spans="1:12" ht="14.4" customHeight="1" thickBot="1" x14ac:dyDescent="0.35">
      <c r="A92" s="13"/>
      <c r="E92" s="26"/>
    </row>
    <row r="93" spans="1:12" ht="14.4" customHeight="1" thickBot="1" x14ac:dyDescent="0.35">
      <c r="A93" s="8" t="s">
        <v>159</v>
      </c>
      <c r="B93" s="127"/>
      <c r="C93" s="127"/>
      <c r="D93" s="127"/>
      <c r="E93" s="139"/>
      <c r="F93" s="127"/>
      <c r="G93" s="127"/>
      <c r="H93" s="127"/>
      <c r="I93" s="127"/>
      <c r="J93" s="127"/>
      <c r="K93" s="128"/>
      <c r="L93" s="131" t="s">
        <v>153</v>
      </c>
    </row>
    <row r="94" spans="1:12" ht="14.4" customHeight="1" x14ac:dyDescent="0.25">
      <c r="A94" s="132" t="s">
        <v>160</v>
      </c>
      <c r="B94" s="37">
        <v>0.5</v>
      </c>
      <c r="C94" s="41">
        <v>0.75</v>
      </c>
      <c r="D94" s="41"/>
      <c r="E94" s="41">
        <v>1</v>
      </c>
      <c r="F94" s="41"/>
      <c r="G94" s="41"/>
      <c r="H94" s="41">
        <v>1.5</v>
      </c>
      <c r="I94" s="41">
        <v>2.5</v>
      </c>
      <c r="J94" s="141">
        <v>4</v>
      </c>
      <c r="K94" s="132" t="s">
        <v>130</v>
      </c>
    </row>
    <row r="95" spans="1:12" ht="14.4" customHeight="1" x14ac:dyDescent="0.25">
      <c r="A95" s="140" t="s">
        <v>156</v>
      </c>
      <c r="B95" s="134" t="e">
        <f t="shared" ref="B95:J95" si="26">$B$80*B97/B94*2</f>
        <v>#DIV/0!</v>
      </c>
      <c r="C95" s="134" t="e">
        <f t="shared" si="26"/>
        <v>#DIV/0!</v>
      </c>
      <c r="D95" s="134"/>
      <c r="E95" s="134" t="e">
        <f t="shared" ref="E95" si="27">$B$80*E97/E94*2</f>
        <v>#DIV/0!</v>
      </c>
      <c r="F95" s="134" t="e">
        <f t="shared" si="26"/>
        <v>#DIV/0!</v>
      </c>
      <c r="G95" s="134"/>
      <c r="H95" s="134" t="e">
        <f t="shared" si="26"/>
        <v>#DIV/0!</v>
      </c>
      <c r="I95" s="134" t="e">
        <f t="shared" si="26"/>
        <v>#DIV/0!</v>
      </c>
      <c r="J95" s="134" t="e">
        <f t="shared" si="26"/>
        <v>#DIV/0!</v>
      </c>
      <c r="K95" s="133" t="s">
        <v>152</v>
      </c>
    </row>
    <row r="96" spans="1:12" ht="14.4" customHeight="1" thickBot="1" x14ac:dyDescent="0.3">
      <c r="A96" s="142" t="s">
        <v>157</v>
      </c>
      <c r="B96" s="134" t="e">
        <f>B95/2</f>
        <v>#DIV/0!</v>
      </c>
      <c r="C96" s="134" t="e">
        <f t="shared" ref="C96" si="28">C95/2</f>
        <v>#DIV/0!</v>
      </c>
      <c r="D96" s="134"/>
      <c r="E96" s="134" t="e">
        <f t="shared" ref="E96:F96" si="29">E95/2</f>
        <v>#DIV/0!</v>
      </c>
      <c r="F96" s="134" t="e">
        <f t="shared" si="29"/>
        <v>#DIV/0!</v>
      </c>
      <c r="G96" s="134"/>
      <c r="H96" s="134" t="e">
        <f>H95/2</f>
        <v>#DIV/0!</v>
      </c>
      <c r="I96" s="134" t="e">
        <f>I95/2</f>
        <v>#DIV/0!</v>
      </c>
      <c r="J96" s="134" t="e">
        <f>J95/2</f>
        <v>#DIV/0!</v>
      </c>
      <c r="K96" s="143" t="s">
        <v>152</v>
      </c>
    </row>
    <row r="97" spans="1:13" ht="14.4" customHeight="1" thickBot="1" x14ac:dyDescent="0.35">
      <c r="A97" s="94" t="s">
        <v>161</v>
      </c>
      <c r="B97" s="168" t="e">
        <f t="shared" ref="B97:J97" si="30">IF((((($B$85-((SUM($C$16,$C$18,$C$20,$C$22)*0.155)*$B$84))/$B$84)*B$94)/$B$80)&gt;3500,3500,(((($B$85-((SUM($C$16,$C$18,$C$20,$C$22)*0.155)*$B$84))/$B$84)*B$94)/$B$80))</f>
        <v>#DIV/0!</v>
      </c>
      <c r="C97" s="168" t="e">
        <f t="shared" si="30"/>
        <v>#DIV/0!</v>
      </c>
      <c r="D97" s="168" t="e">
        <f t="shared" si="30"/>
        <v>#DIV/0!</v>
      </c>
      <c r="E97" s="168" t="e">
        <f t="shared" si="30"/>
        <v>#DIV/0!</v>
      </c>
      <c r="F97" s="168" t="e">
        <f t="shared" si="30"/>
        <v>#DIV/0!</v>
      </c>
      <c r="G97" s="168" t="e">
        <f t="shared" si="30"/>
        <v>#DIV/0!</v>
      </c>
      <c r="H97" s="168" t="e">
        <f t="shared" si="30"/>
        <v>#DIV/0!</v>
      </c>
      <c r="I97" s="168" t="e">
        <f t="shared" si="30"/>
        <v>#DIV/0!</v>
      </c>
      <c r="J97" s="168" t="e">
        <f t="shared" si="30"/>
        <v>#DIV/0!</v>
      </c>
      <c r="K97" s="94" t="s">
        <v>151</v>
      </c>
    </row>
    <row r="98" spans="1:13" ht="14.4" customHeight="1" thickBot="1" x14ac:dyDescent="0.35">
      <c r="A98" s="13"/>
      <c r="E98" s="26"/>
    </row>
    <row r="99" spans="1:13" ht="14.4" customHeight="1" thickBot="1" x14ac:dyDescent="0.35">
      <c r="A99" s="8" t="s">
        <v>162</v>
      </c>
      <c r="B99" s="127"/>
      <c r="C99" s="128"/>
      <c r="D99" s="26"/>
    </row>
    <row r="100" spans="1:13" ht="14.4" customHeight="1" x14ac:dyDescent="0.3">
      <c r="A100" s="96" t="s">
        <v>163</v>
      </c>
      <c r="B100" s="41">
        <f>$B$8</f>
        <v>1.5</v>
      </c>
      <c r="C100" s="98" t="s">
        <v>130</v>
      </c>
      <c r="D100" s="26"/>
      <c r="G100" s="130" t="str">
        <f>IF(B100&lt;0.5,"Error: The Minimum Cable Seccion in the Loop is 0,5 mm2","")</f>
        <v/>
      </c>
    </row>
    <row r="101" spans="1:13" ht="14.4" customHeight="1" x14ac:dyDescent="0.3">
      <c r="A101" s="21" t="s">
        <v>164</v>
      </c>
      <c r="B101" s="49">
        <f>$B$9</f>
        <v>1000</v>
      </c>
      <c r="C101" s="95" t="s">
        <v>130</v>
      </c>
      <c r="D101" s="26"/>
      <c r="G101" s="130" t="str">
        <f>IF(B101&gt;3500,"Error: The Maximum Lenght in the Line is 3500 meters","")</f>
        <v/>
      </c>
    </row>
    <row r="102" spans="1:13" ht="14.4" customHeight="1" x14ac:dyDescent="0.3">
      <c r="A102" s="21" t="s">
        <v>165</v>
      </c>
      <c r="B102" s="136">
        <f>((($B$80*B101)/B100)*2)+(SUM(C16,C18,C20,C22,)*0.155)</f>
        <v>22.933333333333334</v>
      </c>
      <c r="C102" s="106" t="s">
        <v>152</v>
      </c>
      <c r="D102" s="26"/>
    </row>
    <row r="103" spans="1:13" ht="14.4" customHeight="1" thickBot="1" x14ac:dyDescent="0.35">
      <c r="A103" s="22" t="s">
        <v>166</v>
      </c>
      <c r="B103" s="135">
        <f>B102/2</f>
        <v>11.466666666666667</v>
      </c>
      <c r="C103" s="108" t="s">
        <v>152</v>
      </c>
      <c r="D103" s="26"/>
    </row>
    <row r="104" spans="1:13" ht="14.4" customHeight="1" thickBot="1" x14ac:dyDescent="0.35">
      <c r="A104" s="146" t="s">
        <v>167</v>
      </c>
      <c r="B104" s="147">
        <f>$B$85/$B$103</f>
        <v>0.6017441860465117</v>
      </c>
      <c r="C104" s="147" t="s">
        <v>9</v>
      </c>
      <c r="D104" s="26"/>
    </row>
    <row r="105" spans="1:13" ht="14.4" customHeight="1" thickBot="1" x14ac:dyDescent="0.35">
      <c r="A105" s="8" t="s">
        <v>133</v>
      </c>
      <c r="B105" s="127"/>
      <c r="C105" s="128"/>
      <c r="D105" s="26"/>
    </row>
    <row r="106" spans="1:13" ht="14.4" customHeight="1" thickBot="1" x14ac:dyDescent="0.35">
      <c r="A106" s="8" t="s">
        <v>134</v>
      </c>
      <c r="B106" s="128"/>
      <c r="C106" s="138" t="str">
        <f>IF($B$84&gt;0.4,"FAIL",IF($B$104&gt;=$B$84,"OK","FAIL"))</f>
        <v>OK</v>
      </c>
      <c r="D106" s="26"/>
      <c r="G106" s="130" t="str">
        <f>IF($B$84&gt;0.4,"Error: The Loop Current is upper that Maximum Current allowed",IF($B$104&lt;$B$84,"Error: The Loop Current is upper that Maximum Current allowed",""))</f>
        <v/>
      </c>
    </row>
    <row r="107" spans="1:13" ht="14.4" customHeight="1" thickBot="1" x14ac:dyDescent="0.35">
      <c r="A107" s="8" t="s">
        <v>135</v>
      </c>
      <c r="B107" s="128"/>
      <c r="C107" s="137" t="str">
        <f>IF($M$76&lt;=250,"OK","FAIL")</f>
        <v>OK</v>
      </c>
      <c r="D107" s="26"/>
      <c r="G107" s="130" t="str">
        <f>IF($M$76&gt;250,"Error: The Loop cannot contain more than 250 addresses","")</f>
        <v/>
      </c>
    </row>
    <row r="108" spans="1:13" ht="14.4" customHeight="1" x14ac:dyDescent="0.3">
      <c r="A108" s="13"/>
      <c r="B108" s="13"/>
      <c r="F108" s="26"/>
    </row>
    <row r="110" spans="1:13" ht="27" customHeight="1" x14ac:dyDescent="0.25">
      <c r="A110" s="225" t="s">
        <v>13</v>
      </c>
      <c r="B110" s="225"/>
      <c r="C110" s="225"/>
      <c r="D110" s="225"/>
      <c r="E110" s="225"/>
      <c r="F110" s="225"/>
      <c r="G110" s="225"/>
      <c r="H110" s="225"/>
      <c r="I110" s="225"/>
      <c r="J110" s="225"/>
      <c r="K110" s="225"/>
      <c r="L110" s="225"/>
      <c r="M110" s="225"/>
    </row>
  </sheetData>
  <sheetProtection algorithmName="SHA-512" hashValue="HG0ly3Ktn+vyo2iQ4jBdahjtmaU8L350H9EZ9GSP4sc1MIUismTZVbkEfS2sF8XC91phHrR95AoFy6a9nJn39g==" saltValue="bCXjkEpOnvAPsA0vtk70Ng==" spinCount="100000" sheet="1" sort="0" autoFilter="0" pivotTables="0"/>
  <mergeCells count="5">
    <mergeCell ref="K7:L7"/>
    <mergeCell ref="H8:J9"/>
    <mergeCell ref="K8:L8"/>
    <mergeCell ref="K9:L9"/>
    <mergeCell ref="A110:M110"/>
  </mergeCells>
  <conditionalFormatting sqref="B89:J90">
    <cfRule type="containsErrors" dxfId="16" priority="5">
      <formula>ISERROR(B89)</formula>
    </cfRule>
  </conditionalFormatting>
  <conditionalFormatting sqref="B91:J91">
    <cfRule type="containsErrors" dxfId="15" priority="3">
      <formula>ISERROR(B91)</formula>
    </cfRule>
  </conditionalFormatting>
  <conditionalFormatting sqref="B95:J96">
    <cfRule type="containsErrors" dxfId="14" priority="4">
      <formula>ISERROR(B95)</formula>
    </cfRule>
  </conditionalFormatting>
  <conditionalFormatting sqref="B97:J97">
    <cfRule type="containsErrors" dxfId="13" priority="1">
      <formula>ISERROR(B97)</formula>
    </cfRule>
  </conditionalFormatting>
  <conditionalFormatting sqref="C106:C107">
    <cfRule type="cellIs" dxfId="12" priority="6" stopIfTrue="1" operator="equal">
      <formula>"FAIL"</formula>
    </cfRule>
  </conditionalFormatting>
  <conditionalFormatting sqref="K15:K75">
    <cfRule type="cellIs" dxfId="11" priority="8" operator="equal">
      <formula>0</formula>
    </cfRule>
  </conditionalFormatting>
  <conditionalFormatting sqref="M8:M9">
    <cfRule type="cellIs" dxfId="10" priority="24" stopIfTrue="1" operator="equal">
      <formula>"FAIL"</formula>
    </cfRule>
  </conditionalFormatting>
  <conditionalFormatting sqref="O34:O35 O56 O58 O60 O62 O64:O65">
    <cfRule type="expression" dxfId="9" priority="11" stopIfTrue="1">
      <formula>$B$38&gt;2</formula>
    </cfRule>
    <cfRule type="expression" dxfId="8" priority="12" stopIfTrue="1">
      <formula>$B$38&lt;3</formula>
    </cfRule>
  </conditionalFormatting>
  <conditionalFormatting sqref="O35:O36">
    <cfRule type="expression" dxfId="7" priority="17" stopIfTrue="1">
      <formula>$B$37&gt;4</formula>
    </cfRule>
    <cfRule type="expression" dxfId="6" priority="18" stopIfTrue="1">
      <formula>$B$37&lt;5</formula>
    </cfRule>
  </conditionalFormatting>
  <conditionalFormatting sqref="O37:O43">
    <cfRule type="expression" dxfId="5" priority="13" stopIfTrue="1">
      <formula>$B$38&gt;2</formula>
    </cfRule>
    <cfRule type="expression" dxfId="4" priority="14" stopIfTrue="1">
      <formula>$B$38&lt;3</formula>
    </cfRule>
  </conditionalFormatting>
  <conditionalFormatting sqref="O54">
    <cfRule type="expression" dxfId="3" priority="9" stopIfTrue="1">
      <formula>$B$38&gt;2</formula>
    </cfRule>
    <cfRule type="expression" dxfId="2" priority="10" stopIfTrue="1">
      <formula>$B$38&lt;3</formula>
    </cfRule>
  </conditionalFormatting>
  <conditionalFormatting sqref="O68">
    <cfRule type="expression" dxfId="1" priority="15" stopIfTrue="1">
      <formula>$B$37&gt;4</formula>
    </cfRule>
    <cfRule type="expression" dxfId="0" priority="16" stopIfTrue="1">
      <formula>$B$37&lt;5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9B8E5B-1DAB-4C15-869B-9DE02321B9FC}">
          <x14:formula1>
            <xm:f>Datos!$F$16:$F$21</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5133E-1250-465B-9088-6E5E8C2898AD}">
  <sheetPr codeName="Hoja1"/>
  <dimension ref="A2:Y43"/>
  <sheetViews>
    <sheetView zoomScale="120" zoomScaleNormal="120" workbookViewId="0">
      <selection activeCell="G29" sqref="G29"/>
    </sheetView>
  </sheetViews>
  <sheetFormatPr baseColWidth="10" defaultRowHeight="12.5" x14ac:dyDescent="0.25"/>
  <cols>
    <col min="1" max="1" width="26.1796875" bestFit="1" customWidth="1"/>
    <col min="2" max="2" width="26.1796875" customWidth="1"/>
    <col min="3" max="3" width="12.08984375" bestFit="1" customWidth="1"/>
    <col min="8" max="8" width="14.54296875" bestFit="1" customWidth="1"/>
    <col min="11" max="11" width="19.6328125" bestFit="1" customWidth="1"/>
    <col min="12" max="21" width="9" customWidth="1"/>
  </cols>
  <sheetData>
    <row r="2" spans="1:25" ht="13" x14ac:dyDescent="0.3">
      <c r="A2" s="44" t="s">
        <v>85</v>
      </c>
      <c r="B2" s="7"/>
      <c r="F2" s="44" t="s">
        <v>84</v>
      </c>
      <c r="K2" s="13"/>
    </row>
    <row r="3" spans="1:25" ht="13" x14ac:dyDescent="0.3">
      <c r="A3" s="42" t="s">
        <v>86</v>
      </c>
      <c r="B3" s="194"/>
      <c r="C3" s="194" t="s">
        <v>87</v>
      </c>
      <c r="D3" s="43" t="s">
        <v>88</v>
      </c>
      <c r="F3" s="42"/>
      <c r="G3" s="38" t="s">
        <v>82</v>
      </c>
      <c r="H3" s="43" t="s">
        <v>83</v>
      </c>
      <c r="K3" s="13" t="s">
        <v>97</v>
      </c>
      <c r="L3" s="7"/>
      <c r="M3" s="7"/>
    </row>
    <row r="4" spans="1:25" x14ac:dyDescent="0.25">
      <c r="A4" s="34" t="s">
        <v>89</v>
      </c>
      <c r="B4" s="13" t="str">
        <f t="shared" ref="B4:B17" si="0">K6</f>
        <v>CAD_150_1</v>
      </c>
      <c r="C4" s="188">
        <f>160/1000</f>
        <v>0.16</v>
      </c>
      <c r="D4" s="45">
        <f>200/1000</f>
        <v>0.2</v>
      </c>
      <c r="F4" s="34" t="s">
        <v>50</v>
      </c>
      <c r="G4" s="34">
        <v>12</v>
      </c>
      <c r="H4" s="34">
        <v>7.2</v>
      </c>
      <c r="I4" s="144">
        <v>24</v>
      </c>
      <c r="J4" t="s">
        <v>52</v>
      </c>
      <c r="K4" s="13" t="s">
        <v>98</v>
      </c>
      <c r="L4" s="13"/>
      <c r="M4" s="13"/>
    </row>
    <row r="5" spans="1:25" x14ac:dyDescent="0.25">
      <c r="A5" s="34" t="s">
        <v>57</v>
      </c>
      <c r="B5" s="13" t="str">
        <f t="shared" si="0"/>
        <v>CAD_150_2</v>
      </c>
      <c r="C5" s="188">
        <f>220/1000</f>
        <v>0.22</v>
      </c>
      <c r="D5" s="46">
        <f>255/1000</f>
        <v>0.255</v>
      </c>
      <c r="F5" s="34" t="s">
        <v>197</v>
      </c>
      <c r="G5" s="40">
        <v>12</v>
      </c>
      <c r="H5" s="35">
        <v>12</v>
      </c>
      <c r="I5" s="40">
        <v>18</v>
      </c>
      <c r="J5" t="s">
        <v>51</v>
      </c>
      <c r="K5" s="48"/>
      <c r="L5" s="48" t="str">
        <f>K6</f>
        <v>CAD_150_1</v>
      </c>
      <c r="M5" s="48" t="str">
        <f>K7</f>
        <v>CAD_150_2</v>
      </c>
      <c r="N5" s="48" t="str">
        <f>K8</f>
        <v>CAD_150_2_MB</v>
      </c>
      <c r="O5" s="48" t="str">
        <f>K9</f>
        <v>CAD_150_4</v>
      </c>
      <c r="P5" s="48" t="str">
        <f>K10</f>
        <v>CAD_150_8_4loop</v>
      </c>
      <c r="Q5" s="48" t="str">
        <f>K11</f>
        <v>CAD_150_8_6loop</v>
      </c>
      <c r="R5" s="48" t="str">
        <f>K12</f>
        <v>CAD_150_8_8loop</v>
      </c>
      <c r="S5" s="48" t="str">
        <f>K13</f>
        <v>CAD_150_8PLUS_4loop</v>
      </c>
      <c r="T5" s="48" t="str">
        <f>K14</f>
        <v>CAD_150_8PLUS_6loop</v>
      </c>
      <c r="U5" s="48" t="str">
        <f>K15</f>
        <v>CAD_150_8PLUS_8loop</v>
      </c>
      <c r="V5" t="str">
        <f>K16</f>
        <v>CAD_150_4_P</v>
      </c>
      <c r="W5" t="str">
        <f>K17</f>
        <v>CAD_150_8PLUS_P_4loop</v>
      </c>
      <c r="X5" t="str">
        <f>K18</f>
        <v>CAD_150_8PLUS_P_6loop</v>
      </c>
      <c r="Y5" t="str">
        <f>K19</f>
        <v>CAD_150_8PLUS_P_8loop</v>
      </c>
    </row>
    <row r="6" spans="1:25" x14ac:dyDescent="0.25">
      <c r="A6" s="34" t="s">
        <v>76</v>
      </c>
      <c r="B6" s="13" t="str">
        <f t="shared" si="0"/>
        <v>CAD_150_2_MB</v>
      </c>
      <c r="C6" s="188">
        <v>0.26</v>
      </c>
      <c r="D6" s="45">
        <v>0.3</v>
      </c>
      <c r="F6" s="34" t="s">
        <v>51</v>
      </c>
      <c r="G6" s="40">
        <v>12</v>
      </c>
      <c r="H6" s="35">
        <v>18</v>
      </c>
      <c r="I6" s="40">
        <v>12</v>
      </c>
      <c r="J6" t="s">
        <v>197</v>
      </c>
      <c r="K6" s="48" t="s">
        <v>99</v>
      </c>
      <c r="L6" s="48" t="s">
        <v>50</v>
      </c>
      <c r="M6" s="48" t="s">
        <v>50</v>
      </c>
      <c r="N6" s="48" t="s">
        <v>50</v>
      </c>
      <c r="O6" s="48" t="s">
        <v>50</v>
      </c>
      <c r="P6" s="48" t="s">
        <v>50</v>
      </c>
      <c r="Q6" s="48" t="s">
        <v>50</v>
      </c>
      <c r="R6" s="48" t="s">
        <v>50</v>
      </c>
      <c r="S6" s="63" t="s">
        <v>50</v>
      </c>
      <c r="T6" s="63" t="s">
        <v>50</v>
      </c>
      <c r="U6" s="63" t="s">
        <v>50</v>
      </c>
      <c r="V6" s="63" t="s">
        <v>50</v>
      </c>
      <c r="W6" s="63" t="s">
        <v>50</v>
      </c>
      <c r="X6" s="63" t="s">
        <v>50</v>
      </c>
      <c r="Y6" s="63" t="s">
        <v>50</v>
      </c>
    </row>
    <row r="7" spans="1:25" x14ac:dyDescent="0.25">
      <c r="A7" s="34" t="s">
        <v>58</v>
      </c>
      <c r="B7" s="13" t="str">
        <f t="shared" si="0"/>
        <v>CAD_150_4</v>
      </c>
      <c r="C7" s="188">
        <v>0.3</v>
      </c>
      <c r="D7" s="45">
        <v>0.34</v>
      </c>
      <c r="F7" s="36" t="s">
        <v>52</v>
      </c>
      <c r="G7" s="41">
        <v>12</v>
      </c>
      <c r="H7" s="37">
        <v>24</v>
      </c>
      <c r="I7" s="41">
        <v>7.2</v>
      </c>
      <c r="J7" t="s">
        <v>50</v>
      </c>
      <c r="K7" s="48" t="s">
        <v>100</v>
      </c>
      <c r="L7" s="49"/>
      <c r="M7" s="49"/>
      <c r="N7" s="49" t="s">
        <v>197</v>
      </c>
      <c r="O7" s="49" t="s">
        <v>197</v>
      </c>
      <c r="P7" s="48" t="s">
        <v>51</v>
      </c>
      <c r="Q7" s="48" t="s">
        <v>51</v>
      </c>
      <c r="R7" s="48" t="s">
        <v>51</v>
      </c>
      <c r="S7" s="48" t="s">
        <v>51</v>
      </c>
      <c r="T7" s="48" t="s">
        <v>51</v>
      </c>
      <c r="U7" s="48" t="s">
        <v>51</v>
      </c>
      <c r="V7" s="63"/>
      <c r="W7" s="48" t="s">
        <v>51</v>
      </c>
      <c r="X7" s="48" t="s">
        <v>51</v>
      </c>
      <c r="Y7" s="48" t="s">
        <v>51</v>
      </c>
    </row>
    <row r="8" spans="1:25" x14ac:dyDescent="0.25">
      <c r="A8" s="34" t="s">
        <v>90</v>
      </c>
      <c r="B8" s="13" t="str">
        <f t="shared" si="0"/>
        <v>CAD_150_8_4loop</v>
      </c>
      <c r="C8" s="188">
        <f>300/1000</f>
        <v>0.3</v>
      </c>
      <c r="D8" s="45">
        <f>340/1000</f>
        <v>0.34</v>
      </c>
      <c r="K8" s="48" t="s">
        <v>101</v>
      </c>
      <c r="L8" s="49"/>
      <c r="M8" s="49"/>
      <c r="N8" s="49"/>
      <c r="O8" s="49"/>
      <c r="P8" s="49"/>
      <c r="Q8" s="49"/>
      <c r="R8" s="49"/>
      <c r="S8" s="48" t="s">
        <v>52</v>
      </c>
      <c r="T8" s="48" t="s">
        <v>52</v>
      </c>
      <c r="U8" s="48" t="s">
        <v>52</v>
      </c>
      <c r="W8" s="48" t="s">
        <v>52</v>
      </c>
      <c r="X8" s="48" t="s">
        <v>52</v>
      </c>
      <c r="Y8" s="48" t="s">
        <v>52</v>
      </c>
    </row>
    <row r="9" spans="1:25" x14ac:dyDescent="0.25">
      <c r="A9" s="34" t="s">
        <v>91</v>
      </c>
      <c r="B9" s="13" t="str">
        <f t="shared" si="0"/>
        <v>CAD_150_8_6loop</v>
      </c>
      <c r="C9" s="188">
        <f>400/1000</f>
        <v>0.4</v>
      </c>
      <c r="D9" s="45">
        <f>440/1000</f>
        <v>0.44</v>
      </c>
      <c r="K9" s="48" t="s">
        <v>102</v>
      </c>
      <c r="L9" s="49"/>
      <c r="M9" s="49"/>
      <c r="N9" s="49"/>
      <c r="O9" s="49"/>
      <c r="P9" s="49"/>
      <c r="Q9" s="49"/>
      <c r="R9" s="49"/>
      <c r="S9" s="49"/>
      <c r="T9" s="49"/>
      <c r="U9" s="49"/>
    </row>
    <row r="10" spans="1:25" ht="13" x14ac:dyDescent="0.3">
      <c r="A10" s="34" t="s">
        <v>92</v>
      </c>
      <c r="B10" s="13" t="str">
        <f t="shared" si="0"/>
        <v>CAD_150_8_8loop</v>
      </c>
      <c r="C10" s="188">
        <f>500/1000</f>
        <v>0.5</v>
      </c>
      <c r="D10" s="45">
        <f>540/1000</f>
        <v>0.54</v>
      </c>
      <c r="F10" s="44" t="s">
        <v>84</v>
      </c>
      <c r="K10" s="48" t="s">
        <v>103</v>
      </c>
      <c r="L10" s="49"/>
      <c r="M10" s="49"/>
      <c r="N10" s="49"/>
      <c r="O10" s="49"/>
      <c r="P10" s="49"/>
      <c r="Q10" s="49"/>
      <c r="R10" s="49"/>
      <c r="S10" s="49"/>
      <c r="T10" s="49"/>
      <c r="U10" s="49"/>
    </row>
    <row r="11" spans="1:25" ht="13" x14ac:dyDescent="0.3">
      <c r="A11" s="34" t="s">
        <v>93</v>
      </c>
      <c r="B11" s="13" t="str">
        <f t="shared" si="0"/>
        <v>CAD_150_8PLUS_4loop</v>
      </c>
      <c r="C11" s="188">
        <f>300/1000</f>
        <v>0.3</v>
      </c>
      <c r="D11" s="45">
        <f>340/1000</f>
        <v>0.34</v>
      </c>
      <c r="F11" s="38" t="s">
        <v>121</v>
      </c>
      <c r="K11" s="48" t="s">
        <v>104</v>
      </c>
      <c r="L11" s="38"/>
      <c r="M11" s="38"/>
      <c r="N11" s="49"/>
      <c r="O11" s="49"/>
      <c r="P11" s="49"/>
      <c r="Q11" s="49"/>
      <c r="R11" s="49"/>
      <c r="S11" s="49"/>
      <c r="T11" s="49"/>
      <c r="U11" s="49"/>
    </row>
    <row r="12" spans="1:25" x14ac:dyDescent="0.25">
      <c r="A12" s="34" t="s">
        <v>94</v>
      </c>
      <c r="B12" s="13" t="str">
        <f t="shared" si="0"/>
        <v>CAD_150_8PLUS_6loop</v>
      </c>
      <c r="C12" s="188">
        <f>400/1000</f>
        <v>0.4</v>
      </c>
      <c r="D12" s="45">
        <f>440/1000</f>
        <v>0.44</v>
      </c>
      <c r="F12" s="49">
        <v>0</v>
      </c>
      <c r="K12" s="48" t="s">
        <v>105</v>
      </c>
      <c r="L12" s="48"/>
      <c r="M12" s="48"/>
      <c r="N12" s="49"/>
      <c r="O12" s="49"/>
      <c r="P12" s="49"/>
      <c r="Q12" s="49"/>
      <c r="R12" s="49"/>
      <c r="S12" s="49"/>
      <c r="T12" s="49"/>
      <c r="U12" s="49"/>
    </row>
    <row r="13" spans="1:25" x14ac:dyDescent="0.25">
      <c r="A13" s="34" t="s">
        <v>95</v>
      </c>
      <c r="B13" s="13" t="str">
        <f t="shared" si="0"/>
        <v>CAD_150_8PLUS_8loop</v>
      </c>
      <c r="C13" s="188">
        <f>500/1000</f>
        <v>0.5</v>
      </c>
      <c r="D13" s="45">
        <f>540/1000</f>
        <v>0.54</v>
      </c>
      <c r="F13" s="49">
        <v>1</v>
      </c>
      <c r="K13" s="48" t="s">
        <v>106</v>
      </c>
      <c r="L13" s="48"/>
      <c r="M13" s="48"/>
      <c r="N13" s="49"/>
      <c r="O13" s="49"/>
      <c r="P13" s="49"/>
      <c r="Q13" s="49"/>
      <c r="R13" s="49"/>
      <c r="S13" s="49"/>
      <c r="T13" s="49"/>
      <c r="U13" s="49"/>
    </row>
    <row r="14" spans="1:25" x14ac:dyDescent="0.25">
      <c r="A14" s="34" t="s">
        <v>182</v>
      </c>
      <c r="B14" s="13" t="str">
        <f t="shared" si="0"/>
        <v>CAD_150_4_P</v>
      </c>
      <c r="C14" s="189">
        <f>C7+0.035</f>
        <v>0.33499999999999996</v>
      </c>
      <c r="D14" s="190">
        <f>D7+0.035</f>
        <v>0.375</v>
      </c>
      <c r="K14" s="48" t="s">
        <v>107</v>
      </c>
      <c r="L14" s="48"/>
      <c r="M14" s="48"/>
      <c r="N14" s="49"/>
      <c r="O14" s="49"/>
      <c r="P14" s="49"/>
      <c r="Q14" s="49"/>
      <c r="R14" s="49"/>
      <c r="S14" s="49"/>
      <c r="T14" s="49"/>
      <c r="U14" s="49"/>
    </row>
    <row r="15" spans="1:25" x14ac:dyDescent="0.25">
      <c r="A15" s="34" t="s">
        <v>183</v>
      </c>
      <c r="B15" s="13" t="str">
        <f t="shared" si="0"/>
        <v>CAD_150_8PLUS_P_4loop</v>
      </c>
      <c r="C15" s="189">
        <f>C11+0.035</f>
        <v>0.33499999999999996</v>
      </c>
      <c r="D15" s="190">
        <f>D11+0.035</f>
        <v>0.375</v>
      </c>
      <c r="F15" s="13" t="s">
        <v>168</v>
      </c>
      <c r="G15" s="13" t="s">
        <v>200</v>
      </c>
      <c r="K15" s="48" t="s">
        <v>108</v>
      </c>
      <c r="L15" s="49"/>
      <c r="M15" s="49"/>
      <c r="N15" s="49"/>
      <c r="O15" s="49"/>
      <c r="P15" s="49"/>
      <c r="Q15" s="49"/>
      <c r="R15" s="49"/>
      <c r="S15" s="49"/>
      <c r="T15" s="49"/>
      <c r="U15" s="49"/>
    </row>
    <row r="16" spans="1:25" x14ac:dyDescent="0.25">
      <c r="A16" s="34" t="s">
        <v>184</v>
      </c>
      <c r="B16" s="13" t="str">
        <f t="shared" si="0"/>
        <v>CAD_150_8PLUS_P_6loop</v>
      </c>
      <c r="C16" s="189">
        <f>C12+0.035</f>
        <v>0.43500000000000005</v>
      </c>
      <c r="D16" s="190">
        <f t="shared" ref="D16" si="1">D12+0.035</f>
        <v>0.47499999999999998</v>
      </c>
      <c r="F16">
        <v>0.5</v>
      </c>
      <c r="G16">
        <v>21</v>
      </c>
      <c r="K16" s="48" t="s">
        <v>186</v>
      </c>
    </row>
    <row r="17" spans="1:14" x14ac:dyDescent="0.25">
      <c r="A17" s="36" t="s">
        <v>185</v>
      </c>
      <c r="B17" s="191" t="str">
        <f t="shared" si="0"/>
        <v>CAD_150_8PLUS_P_8loop</v>
      </c>
      <c r="C17" s="192">
        <f t="shared" ref="C17:D17" si="2">C13+0.035</f>
        <v>0.53500000000000003</v>
      </c>
      <c r="D17" s="193">
        <f t="shared" si="2"/>
        <v>0.57500000000000007</v>
      </c>
      <c r="F17">
        <v>0.8</v>
      </c>
      <c r="G17">
        <v>20</v>
      </c>
      <c r="K17" s="48" t="s">
        <v>189</v>
      </c>
    </row>
    <row r="18" spans="1:14" x14ac:dyDescent="0.25">
      <c r="A18" s="13"/>
      <c r="B18" s="13"/>
      <c r="F18">
        <v>1</v>
      </c>
      <c r="G18">
        <v>18</v>
      </c>
      <c r="K18" s="48" t="s">
        <v>188</v>
      </c>
    </row>
    <row r="19" spans="1:14" ht="13" x14ac:dyDescent="0.3">
      <c r="C19" s="44" t="s">
        <v>79</v>
      </c>
      <c r="F19">
        <v>1.5</v>
      </c>
      <c r="G19">
        <v>16</v>
      </c>
      <c r="K19" s="48" t="s">
        <v>187</v>
      </c>
    </row>
    <row r="20" spans="1:14" ht="13" x14ac:dyDescent="0.3">
      <c r="A20" s="13"/>
      <c r="B20" s="13"/>
      <c r="C20" s="195" t="s">
        <v>80</v>
      </c>
      <c r="D20" s="195" t="s">
        <v>81</v>
      </c>
      <c r="F20">
        <v>2</v>
      </c>
      <c r="G20">
        <v>15</v>
      </c>
    </row>
    <row r="21" spans="1:14" ht="13" x14ac:dyDescent="0.3">
      <c r="C21" s="144">
        <v>72</v>
      </c>
      <c r="D21" s="196">
        <v>30</v>
      </c>
      <c r="F21">
        <v>2.5</v>
      </c>
      <c r="G21">
        <v>14</v>
      </c>
      <c r="K21" s="13" t="s">
        <v>127</v>
      </c>
      <c r="L21" s="7"/>
      <c r="M21" s="7"/>
    </row>
    <row r="22" spans="1:14" x14ac:dyDescent="0.25">
      <c r="C22" s="63">
        <v>48</v>
      </c>
      <c r="D22" s="35">
        <v>15</v>
      </c>
      <c r="K22" s="13"/>
      <c r="L22" s="13"/>
      <c r="M22" s="13"/>
    </row>
    <row r="23" spans="1:14" x14ac:dyDescent="0.25">
      <c r="C23" s="40">
        <v>30</v>
      </c>
      <c r="D23" s="35">
        <v>5</v>
      </c>
      <c r="K23" s="48" t="s">
        <v>98</v>
      </c>
      <c r="L23" s="48"/>
      <c r="M23" s="48"/>
      <c r="N23" s="48"/>
    </row>
    <row r="24" spans="1:14" x14ac:dyDescent="0.25">
      <c r="C24" s="63">
        <v>24</v>
      </c>
      <c r="D24" s="35">
        <v>0</v>
      </c>
      <c r="K24" s="48" t="s">
        <v>99</v>
      </c>
      <c r="L24" s="48" t="s">
        <v>50</v>
      </c>
      <c r="M24" s="48"/>
      <c r="N24" s="48"/>
    </row>
    <row r="25" spans="1:14" ht="13.5" thickBot="1" x14ac:dyDescent="0.35">
      <c r="C25" s="145">
        <v>4</v>
      </c>
      <c r="D25" s="37"/>
      <c r="F25" s="44" t="s">
        <v>169</v>
      </c>
      <c r="K25" s="48" t="s">
        <v>100</v>
      </c>
      <c r="L25" s="48" t="s">
        <v>50</v>
      </c>
      <c r="M25" s="49"/>
      <c r="N25" s="49"/>
    </row>
    <row r="26" spans="1:14" x14ac:dyDescent="0.25">
      <c r="F26" s="163">
        <v>120</v>
      </c>
      <c r="G26" s="164" t="s">
        <v>201</v>
      </c>
      <c r="H26" s="154"/>
      <c r="I26" s="155"/>
      <c r="K26" s="48" t="s">
        <v>101</v>
      </c>
      <c r="L26" s="48" t="s">
        <v>50</v>
      </c>
      <c r="M26" s="49"/>
      <c r="N26" s="49"/>
    </row>
    <row r="27" spans="1:14" x14ac:dyDescent="0.25">
      <c r="F27" s="165">
        <v>38</v>
      </c>
      <c r="G27" s="48" t="s">
        <v>202</v>
      </c>
      <c r="H27" s="13"/>
      <c r="I27" s="156"/>
      <c r="K27" s="48" t="s">
        <v>102</v>
      </c>
      <c r="L27" s="48" t="s">
        <v>50</v>
      </c>
      <c r="M27" s="49"/>
      <c r="N27" s="49"/>
    </row>
    <row r="28" spans="1:14" x14ac:dyDescent="0.25">
      <c r="F28" s="165">
        <v>17</v>
      </c>
      <c r="G28" s="48" t="s">
        <v>51</v>
      </c>
      <c r="H28" s="13"/>
      <c r="I28" s="156"/>
      <c r="K28" s="48" t="s">
        <v>103</v>
      </c>
      <c r="L28" s="48" t="s">
        <v>50</v>
      </c>
      <c r="M28" s="48" t="s">
        <v>51</v>
      </c>
      <c r="N28" s="49"/>
    </row>
    <row r="29" spans="1:14" x14ac:dyDescent="0.25">
      <c r="F29" s="157"/>
      <c r="G29" s="13"/>
      <c r="H29" s="13"/>
      <c r="I29" s="156"/>
      <c r="K29" s="48" t="s">
        <v>104</v>
      </c>
      <c r="L29" s="48" t="s">
        <v>50</v>
      </c>
      <c r="M29" s="48" t="s">
        <v>51</v>
      </c>
      <c r="N29" s="49"/>
    </row>
    <row r="30" spans="1:14" x14ac:dyDescent="0.25">
      <c r="F30" s="166" t="str">
        <f>'System Calculation'!A15</f>
        <v>CAD_150_1</v>
      </c>
      <c r="G30" s="160">
        <f>VLOOKUP(F30,Datos!B4:D17,2,0)</f>
        <v>0.16</v>
      </c>
      <c r="H30" s="160">
        <f>VLOOKUP(F30,Datos!B4:D17,3,0)</f>
        <v>0.2</v>
      </c>
      <c r="I30" s="156"/>
      <c r="K30" s="48" t="s">
        <v>105</v>
      </c>
      <c r="L30" s="48" t="s">
        <v>50</v>
      </c>
      <c r="M30" s="48" t="s">
        <v>51</v>
      </c>
      <c r="N30" s="49"/>
    </row>
    <row r="31" spans="1:14" ht="13" x14ac:dyDescent="0.3">
      <c r="F31" s="166" t="str">
        <f>'System Calculation'!A16</f>
        <v>BTD-1212</v>
      </c>
      <c r="G31" s="152">
        <f>VLOOKUP(F31,Datos!F4:H7,2,0)</f>
        <v>12</v>
      </c>
      <c r="H31" s="161">
        <f>VLOOKUP(F31,Datos!F4:H7,3,0)</f>
        <v>12</v>
      </c>
      <c r="I31" s="156"/>
      <c r="K31" s="48" t="s">
        <v>106</v>
      </c>
      <c r="L31" s="48" t="s">
        <v>50</v>
      </c>
      <c r="M31" s="48" t="s">
        <v>51</v>
      </c>
      <c r="N31" s="48" t="s">
        <v>52</v>
      </c>
    </row>
    <row r="32" spans="1:14" x14ac:dyDescent="0.25">
      <c r="F32" s="157"/>
      <c r="G32" s="13"/>
      <c r="H32" s="13"/>
      <c r="I32" s="156"/>
      <c r="K32" s="48" t="s">
        <v>107</v>
      </c>
      <c r="L32" s="48" t="s">
        <v>50</v>
      </c>
      <c r="M32" s="48" t="s">
        <v>51</v>
      </c>
      <c r="N32" s="48" t="s">
        <v>52</v>
      </c>
    </row>
    <row r="33" spans="1:21" x14ac:dyDescent="0.25">
      <c r="F33" s="21" t="s">
        <v>126</v>
      </c>
      <c r="G33" s="13"/>
      <c r="H33" s="13" t="s">
        <v>170</v>
      </c>
      <c r="I33" s="156"/>
      <c r="K33" s="48" t="s">
        <v>108</v>
      </c>
      <c r="L33" s="48" t="s">
        <v>50</v>
      </c>
      <c r="M33" s="48" t="s">
        <v>51</v>
      </c>
      <c r="N33" s="48" t="s">
        <v>52</v>
      </c>
    </row>
    <row r="34" spans="1:21" ht="13" thickBot="1" x14ac:dyDescent="0.3">
      <c r="F34" s="167">
        <f>'System Calculation'!E22</f>
        <v>4.9249999999999998</v>
      </c>
      <c r="G34" s="13"/>
      <c r="H34" s="153">
        <f>F34-H31</f>
        <v>-7.0750000000000002</v>
      </c>
      <c r="I34" s="156">
        <f>MATCH(H34,F26:F28,-1)</f>
        <v>3</v>
      </c>
      <c r="K34" s="48" t="s">
        <v>186</v>
      </c>
      <c r="L34" s="63" t="s">
        <v>50</v>
      </c>
    </row>
    <row r="35" spans="1:21" ht="13.5" thickBot="1" x14ac:dyDescent="0.35">
      <c r="F35" s="158"/>
      <c r="G35" s="159"/>
      <c r="H35" s="162" t="s">
        <v>171</v>
      </c>
      <c r="I35" s="10" t="str">
        <f>INDEX(G26:G28,I34,1)</f>
        <v>BTD-1218</v>
      </c>
      <c r="K35" s="48" t="s">
        <v>189</v>
      </c>
      <c r="L35" s="63" t="s">
        <v>50</v>
      </c>
      <c r="M35" t="s">
        <v>51</v>
      </c>
      <c r="N35" t="s">
        <v>52</v>
      </c>
    </row>
    <row r="36" spans="1:21" x14ac:dyDescent="0.25">
      <c r="F36" s="13"/>
      <c r="G36" s="13"/>
      <c r="H36" s="13"/>
      <c r="I36" s="13"/>
      <c r="K36" s="48" t="s">
        <v>188</v>
      </c>
      <c r="L36" s="63" t="s">
        <v>50</v>
      </c>
      <c r="M36" t="s">
        <v>51</v>
      </c>
      <c r="N36" t="s">
        <v>52</v>
      </c>
    </row>
    <row r="37" spans="1:21" x14ac:dyDescent="0.25">
      <c r="K37" s="48" t="s">
        <v>187</v>
      </c>
      <c r="L37" s="63" t="s">
        <v>50</v>
      </c>
      <c r="M37" t="s">
        <v>51</v>
      </c>
      <c r="N37" t="s">
        <v>52</v>
      </c>
    </row>
    <row r="40" spans="1:21" s="151" customFormat="1" x14ac:dyDescent="0.25">
      <c r="A40" s="47" t="s">
        <v>96</v>
      </c>
      <c r="F40"/>
      <c r="G40"/>
      <c r="H40"/>
      <c r="I40"/>
      <c r="J40"/>
      <c r="K40"/>
      <c r="L40"/>
      <c r="M40"/>
      <c r="N40"/>
      <c r="O40"/>
      <c r="P40"/>
      <c r="Q40"/>
      <c r="R40"/>
      <c r="S40"/>
      <c r="T40"/>
      <c r="U40"/>
    </row>
    <row r="41" spans="1:21" x14ac:dyDescent="0.25">
      <c r="F41" s="151"/>
      <c r="G41" s="151"/>
      <c r="H41" s="151"/>
      <c r="I41" s="151"/>
    </row>
    <row r="42" spans="1:21" x14ac:dyDescent="0.25">
      <c r="J42" s="151"/>
    </row>
    <row r="43" spans="1:21" x14ac:dyDescent="0.25">
      <c r="K43" s="151"/>
      <c r="L43" s="151"/>
      <c r="M43" s="151"/>
      <c r="N43" s="151"/>
      <c r="O43" s="151"/>
      <c r="P43" s="151"/>
      <c r="Q43" s="151"/>
      <c r="R43" s="151"/>
      <c r="S43" s="151"/>
      <c r="T43" s="151"/>
      <c r="U43" s="151"/>
    </row>
  </sheetData>
  <sheetProtection algorithmName="SHA-512" hashValue="4RAJ6i3Qp07zGMlC9sFQHgR1H5b7hSoekqTm2/2hxDjTVk0rW4uLG9/QOd6qQgyZhCRAajtQulTBEbocYgsJZg==" saltValue="qQ+RCYmAba9XiMNXYJilTA==" spinCount="100000" sheet="1" selectLockedCells="1" selectUnlockedCells="1"/>
  <phoneticPr fontId="11" type="noConversion"/>
  <dataValidations count="3">
    <dataValidation type="list" allowBlank="1" showInputMessage="1" showErrorMessage="1" sqref="M13" xr:uid="{030A2AAA-4593-4CBE-B4A0-73AD269FBA3E}">
      <formula1>Baterias1</formula1>
    </dataValidation>
    <dataValidation type="list" allowBlank="1" showInputMessage="1" showErrorMessage="1" prompt="If control panel is changed, select the batterie according to new panel" sqref="F30" xr:uid="{410E2CA0-3DD4-40E2-937B-30B47A0F962F}">
      <formula1>Centrales</formula1>
    </dataValidation>
    <dataValidation type="list" allowBlank="1" showInputMessage="1" showErrorMessage="1" prompt="If control panel is changed, select the batteries according to new panel" sqref="F31" xr:uid="{29D11690-E581-45EA-817B-CE0AF2A02F80}">
      <formula1>INDIRECT(#REF!)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1BC85-2AEA-41AA-B846-EB139684BDD8}">
  <sheetPr codeName="Hoja3">
    <pageSetUpPr fitToPage="1"/>
  </sheetPr>
  <dimension ref="A1:O110"/>
  <sheetViews>
    <sheetView zoomScale="90" zoomScaleNormal="90" workbookViewId="0">
      <pane ySplit="14" topLeftCell="A46" activePane="bottomLeft" state="frozen"/>
      <selection pane="bottomLeft" activeCell="C47" sqref="C47:C53"/>
    </sheetView>
  </sheetViews>
  <sheetFormatPr baseColWidth="10" defaultRowHeight="12.5" x14ac:dyDescent="0.25"/>
  <cols>
    <col min="1" max="1" width="31.1796875" customWidth="1"/>
    <col min="2" max="2" width="18.90625" customWidth="1"/>
    <col min="3" max="3" width="10.6328125" customWidth="1"/>
    <col min="4" max="4" width="11.08984375" hidden="1" customWidth="1"/>
    <col min="5" max="5" width="12.81640625" bestFit="1" customWidth="1"/>
    <col min="6" max="7" width="10.6328125" hidden="1" customWidth="1"/>
    <col min="8" max="8" width="10.54296875" bestFit="1" customWidth="1"/>
    <col min="9" max="9" width="10.6328125" customWidth="1"/>
    <col min="10" max="10" width="5.54296875" bestFit="1" customWidth="1"/>
    <col min="11" max="11" width="7" customWidth="1"/>
    <col min="12" max="12" width="6.453125" customWidth="1"/>
    <col min="13" max="13" width="6.54296875" customWidth="1"/>
    <col min="15" max="17" width="11.54296875" customWidth="1"/>
  </cols>
  <sheetData>
    <row r="1" spans="1:15" x14ac:dyDescent="0.25">
      <c r="I1" s="1"/>
      <c r="J1" s="2"/>
      <c r="K1" s="2"/>
      <c r="L1" s="2"/>
    </row>
    <row r="2" spans="1:15" x14ac:dyDescent="0.25">
      <c r="I2" s="1"/>
      <c r="J2" s="2"/>
      <c r="K2" s="2"/>
      <c r="L2" s="2"/>
    </row>
    <row r="3" spans="1:15" ht="14.5" x14ac:dyDescent="0.35">
      <c r="A3" s="3"/>
      <c r="B3" s="3"/>
      <c r="I3" s="1"/>
      <c r="J3" s="2"/>
      <c r="K3" s="2"/>
      <c r="L3" s="2"/>
    </row>
    <row r="4" spans="1:15" ht="14.5" x14ac:dyDescent="0.35">
      <c r="A4" s="3"/>
      <c r="B4" s="3"/>
      <c r="I4" s="1"/>
      <c r="J4" s="2"/>
      <c r="K4" s="2"/>
      <c r="L4" s="2"/>
    </row>
    <row r="5" spans="1:15" s="7" customFormat="1" ht="13.5" thickBot="1" x14ac:dyDescent="0.35">
      <c r="A5" s="4" t="str">
        <f>'System Calculation'!A7</f>
        <v>SYSTEM CALCULATOR DETNOV CAD-150 EXCEL TOOL</v>
      </c>
      <c r="B5" s="4"/>
      <c r="C5" s="4"/>
      <c r="D5" s="4"/>
      <c r="E5" s="4"/>
      <c r="F5" s="4"/>
      <c r="G5" s="4"/>
      <c r="H5" s="4"/>
      <c r="I5" s="6"/>
      <c r="J5" s="5"/>
      <c r="K5" s="5"/>
      <c r="L5" s="5"/>
      <c r="M5" s="12" t="str">
        <f>'System Calculation'!J7</f>
        <v>SC 116 en 2019 i</v>
      </c>
    </row>
    <row r="6" spans="1:15" s="7" customFormat="1" ht="13.5" thickBot="1" x14ac:dyDescent="0.35">
      <c r="I6" s="29"/>
      <c r="J6" s="30"/>
      <c r="K6" s="30"/>
      <c r="L6" s="30"/>
      <c r="M6" s="31"/>
    </row>
    <row r="7" spans="1:15" s="7" customFormat="1" ht="13.5" thickBot="1" x14ac:dyDescent="0.35">
      <c r="A7" s="15" t="s">
        <v>62</v>
      </c>
      <c r="B7" s="99"/>
      <c r="C7" s="100"/>
      <c r="I7" s="29"/>
      <c r="K7" s="226" t="s">
        <v>133</v>
      </c>
      <c r="L7" s="230"/>
      <c r="M7" s="118"/>
      <c r="N7" s="31"/>
    </row>
    <row r="8" spans="1:15" s="7" customFormat="1" ht="13.5" thickBot="1" x14ac:dyDescent="0.35">
      <c r="A8" s="96" t="s">
        <v>128</v>
      </c>
      <c r="B8" s="220">
        <v>1.5</v>
      </c>
      <c r="C8" s="222">
        <f>VLOOKUP($B$8,Datos!$F$16:$G$21,2,FALSE)</f>
        <v>16</v>
      </c>
      <c r="D8" s="207"/>
      <c r="E8" s="207"/>
      <c r="F8" s="204"/>
      <c r="G8" s="13"/>
      <c r="H8" s="231" t="str">
        <f>IF(B9&gt;3500,"Error: The Maximum Lenght in the Line is 3500 m","")</f>
        <v/>
      </c>
      <c r="I8" s="231"/>
      <c r="J8" s="232"/>
      <c r="K8" s="226" t="s">
        <v>134</v>
      </c>
      <c r="L8" s="227"/>
      <c r="M8" s="138" t="str">
        <f>IF($B$84&gt;0.4,"FAIL",IF($B$104&gt;=$B$84,"OK","FAIL"))</f>
        <v>OK</v>
      </c>
      <c r="O8" s="130" t="str">
        <f>IF($B$84&gt;0.4,"Error: The Loop Current is upper that Maximum Current allowed",IF($B$104&lt;$B$84,"Error: The Loop Current is upper that Maximum Current allowed",""))</f>
        <v/>
      </c>
    </row>
    <row r="9" spans="1:15" s="7" customFormat="1" ht="13.5" thickBot="1" x14ac:dyDescent="0.35">
      <c r="A9" s="22" t="s">
        <v>129</v>
      </c>
      <c r="B9" s="101">
        <v>1000</v>
      </c>
      <c r="C9" s="221" t="s">
        <v>131</v>
      </c>
      <c r="D9" s="13"/>
      <c r="E9" s="13"/>
      <c r="F9" s="13"/>
      <c r="G9" s="13"/>
      <c r="H9" s="231"/>
      <c r="I9" s="231"/>
      <c r="J9" s="232"/>
      <c r="K9" s="228" t="s">
        <v>135</v>
      </c>
      <c r="L9" s="229"/>
      <c r="M9" s="137" t="str">
        <f>IF($M$76&lt;=250,"OK","FAIL")</f>
        <v>OK</v>
      </c>
      <c r="O9" s="130" t="str">
        <f>IF($M$76&gt;250,"Error: The Loop cannot contain more than 250 addresses","")</f>
        <v/>
      </c>
    </row>
    <row r="10" spans="1:15" s="7" customFormat="1" ht="13" x14ac:dyDescent="0.3">
      <c r="A10" s="129" t="s">
        <v>149</v>
      </c>
      <c r="B10" s="129"/>
      <c r="I10" s="29"/>
      <c r="J10" s="30"/>
      <c r="K10" s="30"/>
      <c r="L10" s="30"/>
      <c r="M10" s="31"/>
    </row>
    <row r="11" spans="1:15" s="7" customFormat="1" ht="13" x14ac:dyDescent="0.3">
      <c r="A11" s="129"/>
      <c r="B11" s="129"/>
      <c r="I11" s="29"/>
      <c r="J11" s="30"/>
      <c r="K11" s="30"/>
      <c r="L11" s="30"/>
      <c r="M11" s="31"/>
    </row>
    <row r="12" spans="1:15" ht="13.5" thickBot="1" x14ac:dyDescent="0.35">
      <c r="C12" s="11" t="s">
        <v>10</v>
      </c>
      <c r="D12" s="11" t="s">
        <v>10</v>
      </c>
    </row>
    <row r="13" spans="1:15" ht="13.5" thickBot="1" x14ac:dyDescent="0.35">
      <c r="A13" s="8" t="s">
        <v>61</v>
      </c>
      <c r="B13" s="9"/>
      <c r="C13" s="9"/>
      <c r="D13" s="9"/>
      <c r="E13" s="9"/>
      <c r="F13" s="9"/>
      <c r="G13" s="9"/>
      <c r="H13" s="9"/>
      <c r="I13" s="127"/>
      <c r="J13" s="127"/>
      <c r="K13" s="127"/>
      <c r="L13" s="127"/>
      <c r="M13" s="128"/>
    </row>
    <row r="14" spans="1:15" s="7" customFormat="1" ht="13.5" thickBot="1" x14ac:dyDescent="0.35">
      <c r="A14" s="123" t="s">
        <v>0</v>
      </c>
      <c r="B14" s="206" t="s">
        <v>223</v>
      </c>
      <c r="C14" s="124" t="s">
        <v>1</v>
      </c>
      <c r="D14" s="124" t="s">
        <v>38</v>
      </c>
      <c r="E14" s="124" t="s">
        <v>38</v>
      </c>
      <c r="F14" s="124" t="s">
        <v>109</v>
      </c>
      <c r="G14" s="124" t="s">
        <v>39</v>
      </c>
      <c r="H14" s="124" t="s">
        <v>39</v>
      </c>
      <c r="I14" s="125" t="s">
        <v>132</v>
      </c>
      <c r="J14" s="125" t="s">
        <v>145</v>
      </c>
      <c r="K14" s="125" t="s">
        <v>146</v>
      </c>
      <c r="L14" s="125" t="s">
        <v>147</v>
      </c>
      <c r="M14" s="126" t="s">
        <v>148</v>
      </c>
    </row>
    <row r="15" spans="1:15" ht="25" x14ac:dyDescent="0.25">
      <c r="A15" s="115" t="s">
        <v>2</v>
      </c>
      <c r="B15" s="208" t="s">
        <v>224</v>
      </c>
      <c r="C15" s="97"/>
      <c r="D15" s="170">
        <f>'[1]SC_Lazo 1'!D15</f>
        <v>1.272E-4</v>
      </c>
      <c r="E15" s="116">
        <f>C15*D15</f>
        <v>0</v>
      </c>
      <c r="F15" s="200">
        <f>IF(C15&gt;10,10,C15)</f>
        <v>0</v>
      </c>
      <c r="G15" s="170">
        <f>'[1]SC_Lazo 1'!G15</f>
        <v>3.6099999999999999E-3</v>
      </c>
      <c r="H15" s="116">
        <f>F15*G15</f>
        <v>0</v>
      </c>
      <c r="I15" s="41"/>
      <c r="J15" s="41" t="str">
        <f t="shared" ref="J15:J27" si="0">IF(C15&lt;&gt;0,C15," ")</f>
        <v xml:space="preserve"> </v>
      </c>
      <c r="K15" s="41"/>
      <c r="L15" s="41"/>
      <c r="M15" s="117" t="str">
        <f>IF(J15&lt;&gt;0,J15," ")</f>
        <v xml:space="preserve"> </v>
      </c>
    </row>
    <row r="16" spans="1:15" ht="25" x14ac:dyDescent="0.25">
      <c r="A16" s="18" t="s">
        <v>15</v>
      </c>
      <c r="B16" s="209" t="s">
        <v>225</v>
      </c>
      <c r="C16" s="19"/>
      <c r="D16" s="57">
        <f>'[1]SC_Lazo 1'!D16</f>
        <v>1.9580000000000002E-4</v>
      </c>
      <c r="E16" s="57">
        <f>C16*D16</f>
        <v>0</v>
      </c>
      <c r="F16" s="200">
        <f t="shared" ref="F16:F22" si="1">IF(C16&gt;10,10,C16)</f>
        <v>0</v>
      </c>
      <c r="G16" s="57">
        <f>'[1]SC_Lazo 1'!G16</f>
        <v>3.7400000000000003E-3</v>
      </c>
      <c r="H16" s="57">
        <f>F16*G16</f>
        <v>0</v>
      </c>
      <c r="I16" s="49"/>
      <c r="J16" s="49" t="str">
        <f t="shared" si="0"/>
        <v xml:space="preserve"> </v>
      </c>
      <c r="K16" s="49"/>
      <c r="L16" s="49"/>
      <c r="M16" s="106" t="str">
        <f>IF(J16&lt;&gt;0,J16," ")</f>
        <v xml:space="preserve"> </v>
      </c>
    </row>
    <row r="17" spans="1:13" ht="25" x14ac:dyDescent="0.25">
      <c r="A17" s="18" t="s">
        <v>3</v>
      </c>
      <c r="B17" s="209" t="s">
        <v>226</v>
      </c>
      <c r="C17" s="19"/>
      <c r="D17" s="57">
        <f>'[1]SC_Lazo 1'!D17</f>
        <v>1.416E-4</v>
      </c>
      <c r="E17" s="57">
        <f t="shared" ref="E17:E75" si="2">C17*D17</f>
        <v>0</v>
      </c>
      <c r="F17" s="200">
        <f t="shared" si="1"/>
        <v>0</v>
      </c>
      <c r="G17" s="57">
        <f>'[1]SC_Lazo 1'!G17</f>
        <v>3.6000000000000003E-3</v>
      </c>
      <c r="H17" s="57">
        <f t="shared" ref="H17:H75" si="3">F17*G17</f>
        <v>0</v>
      </c>
      <c r="I17" s="49"/>
      <c r="J17" s="49" t="str">
        <f t="shared" si="0"/>
        <v xml:space="preserve"> </v>
      </c>
      <c r="K17" s="49"/>
      <c r="L17" s="49"/>
      <c r="M17" s="106" t="str">
        <f t="shared" ref="M17:M70" si="4">IF(J17&lt;&gt;0,J17," ")</f>
        <v xml:space="preserve"> </v>
      </c>
    </row>
    <row r="18" spans="1:13" ht="37.5" x14ac:dyDescent="0.25">
      <c r="A18" s="18" t="s">
        <v>16</v>
      </c>
      <c r="B18" s="209" t="s">
        <v>227</v>
      </c>
      <c r="C18" s="19"/>
      <c r="D18" s="57">
        <f>'[1]SC_Lazo 1'!D18</f>
        <v>2.1239999999999999E-4</v>
      </c>
      <c r="E18" s="57">
        <f t="shared" si="2"/>
        <v>0</v>
      </c>
      <c r="F18" s="200">
        <f t="shared" si="1"/>
        <v>0</v>
      </c>
      <c r="G18" s="57">
        <f>'[1]SC_Lazo 1'!G18</f>
        <v>3.7400000000000003E-3</v>
      </c>
      <c r="H18" s="57">
        <f t="shared" si="3"/>
        <v>0</v>
      </c>
      <c r="I18" s="49"/>
      <c r="J18" s="49" t="str">
        <f t="shared" si="0"/>
        <v xml:space="preserve"> </v>
      </c>
      <c r="K18" s="49"/>
      <c r="L18" s="49"/>
      <c r="M18" s="106" t="str">
        <f t="shared" si="4"/>
        <v xml:space="preserve"> </v>
      </c>
    </row>
    <row r="19" spans="1:13" ht="25" x14ac:dyDescent="0.25">
      <c r="A19" s="18" t="s">
        <v>4</v>
      </c>
      <c r="B19" s="209" t="s">
        <v>228</v>
      </c>
      <c r="C19" s="19"/>
      <c r="D19" s="57">
        <f>'[1]SC_Lazo 1'!D19</f>
        <v>1.2219999999999999E-4</v>
      </c>
      <c r="E19" s="57">
        <f t="shared" si="2"/>
        <v>0</v>
      </c>
      <c r="F19" s="200">
        <f t="shared" si="1"/>
        <v>0</v>
      </c>
      <c r="G19" s="57">
        <f>'[1]SC_Lazo 1'!G19</f>
        <v>3.64E-3</v>
      </c>
      <c r="H19" s="57">
        <f t="shared" si="3"/>
        <v>0</v>
      </c>
      <c r="I19" s="49"/>
      <c r="J19" s="49" t="str">
        <f t="shared" si="0"/>
        <v xml:space="preserve"> </v>
      </c>
      <c r="K19" s="49"/>
      <c r="L19" s="49"/>
      <c r="M19" s="106" t="str">
        <f t="shared" si="4"/>
        <v xml:space="preserve"> </v>
      </c>
    </row>
    <row r="20" spans="1:13" ht="25" x14ac:dyDescent="0.25">
      <c r="A20" s="18" t="s">
        <v>17</v>
      </c>
      <c r="B20" s="209" t="s">
        <v>229</v>
      </c>
      <c r="C20" s="19"/>
      <c r="D20" s="57">
        <f>'[1]SC_Lazo 1'!D20</f>
        <v>1.9239999999999999E-4</v>
      </c>
      <c r="E20" s="57">
        <f t="shared" si="2"/>
        <v>0</v>
      </c>
      <c r="F20" s="200">
        <f t="shared" si="1"/>
        <v>0</v>
      </c>
      <c r="G20" s="57">
        <f>'[1]SC_Lazo 1'!G20</f>
        <v>3.7599999999999999E-3</v>
      </c>
      <c r="H20" s="57">
        <f t="shared" si="3"/>
        <v>0</v>
      </c>
      <c r="I20" s="49"/>
      <c r="J20" s="49" t="str">
        <f t="shared" si="0"/>
        <v xml:space="preserve"> </v>
      </c>
      <c r="K20" s="49"/>
      <c r="L20" s="49"/>
      <c r="M20" s="106" t="str">
        <f t="shared" si="4"/>
        <v xml:space="preserve"> </v>
      </c>
    </row>
    <row r="21" spans="1:13" ht="25" x14ac:dyDescent="0.25">
      <c r="A21" s="18" t="s">
        <v>5</v>
      </c>
      <c r="B21" s="209" t="s">
        <v>230</v>
      </c>
      <c r="C21" s="19"/>
      <c r="D21" s="57">
        <f>'[1]SC_Lazo 1'!D21</f>
        <v>1.3369999999999997E-4</v>
      </c>
      <c r="E21" s="57">
        <f t="shared" si="2"/>
        <v>0</v>
      </c>
      <c r="F21" s="200">
        <f t="shared" si="1"/>
        <v>0</v>
      </c>
      <c r="G21" s="57">
        <f>'[1]SC_Lazo 1'!G21</f>
        <v>3.7799999999999999E-3</v>
      </c>
      <c r="H21" s="57">
        <f t="shared" si="3"/>
        <v>0</v>
      </c>
      <c r="I21" s="49"/>
      <c r="J21" s="49" t="str">
        <f t="shared" si="0"/>
        <v xml:space="preserve"> </v>
      </c>
      <c r="K21" s="49"/>
      <c r="L21" s="49"/>
      <c r="M21" s="106" t="str">
        <f t="shared" si="4"/>
        <v xml:space="preserve"> </v>
      </c>
    </row>
    <row r="22" spans="1:13" ht="37.5" x14ac:dyDescent="0.25">
      <c r="A22" s="18" t="s">
        <v>18</v>
      </c>
      <c r="B22" s="209" t="s">
        <v>231</v>
      </c>
      <c r="C22" s="19"/>
      <c r="D22" s="57">
        <f>'[1]SC_Lazo 1'!D22</f>
        <v>2.0349999999999999E-4</v>
      </c>
      <c r="E22" s="57">
        <f t="shared" si="2"/>
        <v>0</v>
      </c>
      <c r="F22" s="200">
        <f t="shared" si="1"/>
        <v>0</v>
      </c>
      <c r="G22" s="57">
        <f>'[1]SC_Lazo 1'!G22</f>
        <v>3.7699999999999999E-3</v>
      </c>
      <c r="H22" s="57">
        <f t="shared" si="3"/>
        <v>0</v>
      </c>
      <c r="I22" s="49"/>
      <c r="J22" s="49" t="str">
        <f t="shared" si="0"/>
        <v xml:space="preserve"> </v>
      </c>
      <c r="K22" s="49"/>
      <c r="L22" s="49"/>
      <c r="M22" s="106" t="str">
        <f t="shared" si="4"/>
        <v xml:space="preserve"> </v>
      </c>
    </row>
    <row r="23" spans="1:13" ht="25" x14ac:dyDescent="0.25">
      <c r="A23" s="18" t="s">
        <v>191</v>
      </c>
      <c r="B23" s="209" t="s">
        <v>232</v>
      </c>
      <c r="C23" s="19"/>
      <c r="D23" s="57">
        <f>'[1]SC_Lazo 1'!D23</f>
        <v>2.1800000000000001E-3</v>
      </c>
      <c r="E23" s="57">
        <f t="shared" si="2"/>
        <v>0</v>
      </c>
      <c r="F23" s="200">
        <f>IF(C23&gt;10,10,C23)</f>
        <v>0</v>
      </c>
      <c r="G23" s="57">
        <f>'[1]SC_Lazo 1'!G23</f>
        <v>2.2200000000000002E-3</v>
      </c>
      <c r="H23" s="57">
        <f t="shared" si="3"/>
        <v>0</v>
      </c>
      <c r="I23" s="49"/>
      <c r="J23" s="49" t="str">
        <f t="shared" si="0"/>
        <v xml:space="preserve"> </v>
      </c>
      <c r="K23" s="49"/>
      <c r="L23" s="49"/>
      <c r="M23" s="106" t="str">
        <f t="shared" si="4"/>
        <v xml:space="preserve"> </v>
      </c>
    </row>
    <row r="24" spans="1:13" ht="25" x14ac:dyDescent="0.25">
      <c r="A24" s="18" t="s">
        <v>192</v>
      </c>
      <c r="B24" s="209" t="s">
        <v>233</v>
      </c>
      <c r="C24" s="19"/>
      <c r="D24" s="57">
        <f>'[1]SC_Lazo 1'!D24</f>
        <v>2.5999999999999999E-3</v>
      </c>
      <c r="E24" s="57">
        <f t="shared" si="2"/>
        <v>0</v>
      </c>
      <c r="F24" s="200">
        <f t="shared" ref="F24:F26" si="5">IF(C24&gt;10,10,C24)</f>
        <v>0</v>
      </c>
      <c r="G24" s="57">
        <f>'[1]SC_Lazo 1'!G24</f>
        <v>3.16E-3</v>
      </c>
      <c r="H24" s="57">
        <f t="shared" si="3"/>
        <v>0</v>
      </c>
      <c r="I24" s="49"/>
      <c r="J24" s="49" t="str">
        <f t="shared" si="0"/>
        <v xml:space="preserve"> </v>
      </c>
      <c r="K24" s="49"/>
      <c r="L24" s="49"/>
      <c r="M24" s="106" t="str">
        <f t="shared" si="4"/>
        <v xml:space="preserve"> </v>
      </c>
    </row>
    <row r="25" spans="1:13" ht="25" x14ac:dyDescent="0.25">
      <c r="A25" s="18" t="s">
        <v>193</v>
      </c>
      <c r="B25" s="209" t="s">
        <v>234</v>
      </c>
      <c r="C25" s="19"/>
      <c r="D25" s="57">
        <f>'[1]SC_Lazo 1'!D25</f>
        <v>2.1800000000000001E-3</v>
      </c>
      <c r="E25" s="57">
        <f t="shared" si="2"/>
        <v>0</v>
      </c>
      <c r="F25" s="200">
        <f t="shared" si="5"/>
        <v>0</v>
      </c>
      <c r="G25" s="57">
        <f>'[1]SC_Lazo 1'!G25</f>
        <v>2.2200000000000002E-3</v>
      </c>
      <c r="H25" s="57">
        <f t="shared" si="3"/>
        <v>0</v>
      </c>
      <c r="I25" s="49"/>
      <c r="J25" s="49" t="str">
        <f t="shared" si="0"/>
        <v xml:space="preserve"> </v>
      </c>
      <c r="K25" s="49"/>
      <c r="L25" s="49"/>
      <c r="M25" s="106" t="str">
        <f t="shared" si="4"/>
        <v xml:space="preserve"> </v>
      </c>
    </row>
    <row r="26" spans="1:13" ht="25" x14ac:dyDescent="0.25">
      <c r="A26" s="18" t="s">
        <v>194</v>
      </c>
      <c r="B26" s="209" t="s">
        <v>235</v>
      </c>
      <c r="C26" s="19"/>
      <c r="D26" s="57">
        <f>'[1]SC_Lazo 1'!D26</f>
        <v>2.5999999999999999E-3</v>
      </c>
      <c r="E26" s="57">
        <f t="shared" si="2"/>
        <v>0</v>
      </c>
      <c r="F26" s="200">
        <f t="shared" si="5"/>
        <v>0</v>
      </c>
      <c r="G26" s="57">
        <f>'[1]SC_Lazo 1'!G26</f>
        <v>3.16E-3</v>
      </c>
      <c r="H26" s="57">
        <f t="shared" si="3"/>
        <v>0</v>
      </c>
      <c r="I26" s="49"/>
      <c r="J26" s="49" t="str">
        <f t="shared" si="0"/>
        <v xml:space="preserve"> </v>
      </c>
      <c r="K26" s="49"/>
      <c r="L26" s="49"/>
      <c r="M26" s="106" t="str">
        <f t="shared" si="4"/>
        <v xml:space="preserve"> </v>
      </c>
    </row>
    <row r="27" spans="1:13" ht="25" x14ac:dyDescent="0.25">
      <c r="A27" s="18" t="s">
        <v>203</v>
      </c>
      <c r="B27" s="209" t="s">
        <v>236</v>
      </c>
      <c r="C27" s="19"/>
      <c r="D27" s="57">
        <f>'[1]SC_Lazo 1'!D27</f>
        <v>3.7999999999999999E-2</v>
      </c>
      <c r="E27" s="57">
        <f t="shared" si="2"/>
        <v>0</v>
      </c>
      <c r="F27" s="200">
        <f>C27</f>
        <v>0</v>
      </c>
      <c r="G27" s="57">
        <f>'[1]SC_Lazo 1'!G27</f>
        <v>3.7999999999999999E-2</v>
      </c>
      <c r="H27" s="57">
        <f t="shared" si="3"/>
        <v>0</v>
      </c>
      <c r="I27" s="49"/>
      <c r="J27" s="49" t="str">
        <f t="shared" si="0"/>
        <v xml:space="preserve"> </v>
      </c>
      <c r="K27" s="49"/>
      <c r="L27" s="49"/>
      <c r="M27" s="106" t="str">
        <f t="shared" si="4"/>
        <v xml:space="preserve"> </v>
      </c>
    </row>
    <row r="28" spans="1:13" ht="25" x14ac:dyDescent="0.25">
      <c r="A28" s="21" t="s">
        <v>20</v>
      </c>
      <c r="B28" s="210" t="s">
        <v>237</v>
      </c>
      <c r="C28" s="202"/>
      <c r="D28" s="57">
        <f>'[1]SC_Lazo 1'!D28</f>
        <v>2.1680000000000001E-4</v>
      </c>
      <c r="E28" s="57">
        <f t="shared" si="2"/>
        <v>0</v>
      </c>
      <c r="F28" s="199">
        <f>C28*'System Calculation'!$I$14</f>
        <v>0</v>
      </c>
      <c r="G28" s="57">
        <f>'[1]SC_Lazo 1'!G28</f>
        <v>3.0600000000000002E-3</v>
      </c>
      <c r="H28" s="57">
        <f t="shared" si="3"/>
        <v>0</v>
      </c>
      <c r="I28" s="49"/>
      <c r="J28" s="49"/>
      <c r="K28" s="49" t="str">
        <f>IF(C28&lt;&gt;0,C28," ")</f>
        <v xml:space="preserve"> </v>
      </c>
      <c r="L28" s="49"/>
      <c r="M28" s="106" t="str">
        <f>IF(K28&lt;&gt;0,K28," ")</f>
        <v xml:space="preserve"> </v>
      </c>
    </row>
    <row r="29" spans="1:13" ht="25" x14ac:dyDescent="0.25">
      <c r="A29" s="21" t="s">
        <v>21</v>
      </c>
      <c r="B29" s="210" t="s">
        <v>238</v>
      </c>
      <c r="C29" s="19"/>
      <c r="D29" s="57">
        <f>'[1]SC_Lazo 1'!D29</f>
        <v>2.174E-4</v>
      </c>
      <c r="E29" s="57">
        <f t="shared" si="2"/>
        <v>0</v>
      </c>
      <c r="F29" s="199">
        <f>C29*'System Calculation'!$I$14</f>
        <v>0</v>
      </c>
      <c r="G29" s="57">
        <f>'[1]SC_Lazo 1'!G29</f>
        <v>5.9500000000000004E-3</v>
      </c>
      <c r="H29" s="57">
        <f t="shared" si="3"/>
        <v>0</v>
      </c>
      <c r="I29" s="49"/>
      <c r="J29" s="49"/>
      <c r="K29" s="49">
        <f>IF(C29&lt;&gt;0,C29,0)</f>
        <v>0</v>
      </c>
      <c r="L29" s="49"/>
      <c r="M29" s="106" t="str">
        <f>IF(K29&lt;&gt;0,K29*2," ")</f>
        <v xml:space="preserve"> </v>
      </c>
    </row>
    <row r="30" spans="1:13" ht="25" x14ac:dyDescent="0.25">
      <c r="A30" s="21" t="s">
        <v>31</v>
      </c>
      <c r="B30" s="210" t="s">
        <v>239</v>
      </c>
      <c r="C30" s="19"/>
      <c r="D30" s="57">
        <f>'[1]SC_Lazo 1'!D30</f>
        <v>2.786E-4</v>
      </c>
      <c r="E30" s="57">
        <f t="shared" si="2"/>
        <v>0</v>
      </c>
      <c r="F30" s="199">
        <f>C30*'System Calculation'!$I$14</f>
        <v>0</v>
      </c>
      <c r="G30" s="57">
        <f>'[1]SC_Lazo 1'!G30</f>
        <v>3.15E-3</v>
      </c>
      <c r="H30" s="57">
        <f t="shared" si="3"/>
        <v>0</v>
      </c>
      <c r="I30" s="49"/>
      <c r="J30" s="49"/>
      <c r="K30" s="49">
        <f>IF(C30&lt;&gt;0,C30,0)</f>
        <v>0</v>
      </c>
      <c r="L30" s="49"/>
      <c r="M30" s="106" t="str">
        <f>IF(K30&lt;&gt;0,K30*5," ")</f>
        <v xml:space="preserve"> </v>
      </c>
    </row>
    <row r="31" spans="1:13" ht="25" x14ac:dyDescent="0.25">
      <c r="A31" s="21" t="s">
        <v>32</v>
      </c>
      <c r="B31" s="210" t="s">
        <v>240</v>
      </c>
      <c r="C31" s="19"/>
      <c r="D31" s="57">
        <f>'[1]SC_Lazo 1'!D31</f>
        <v>3.6769999999999999E-4</v>
      </c>
      <c r="E31" s="57">
        <f t="shared" si="2"/>
        <v>0</v>
      </c>
      <c r="F31" s="199">
        <f>C31*'System Calculation'!$I$14</f>
        <v>0</v>
      </c>
      <c r="G31" s="57">
        <f>'[1]SC_Lazo 1'!G31</f>
        <v>3.3E-3</v>
      </c>
      <c r="H31" s="57">
        <f t="shared" si="3"/>
        <v>0</v>
      </c>
      <c r="I31" s="49"/>
      <c r="J31" s="49"/>
      <c r="K31" s="49"/>
      <c r="L31" s="49"/>
      <c r="M31" s="106" t="str">
        <f>IF(K31&lt;&gt;0,K31*10," ")</f>
        <v xml:space="preserve"> </v>
      </c>
    </row>
    <row r="32" spans="1:13" ht="25" x14ac:dyDescent="0.25">
      <c r="A32" s="21" t="s">
        <v>22</v>
      </c>
      <c r="B32" s="210" t="s">
        <v>241</v>
      </c>
      <c r="C32" s="19"/>
      <c r="D32" s="57">
        <f>'[1]SC_Lazo 1'!D32</f>
        <v>1.916E-4</v>
      </c>
      <c r="E32" s="57">
        <f t="shared" si="2"/>
        <v>0</v>
      </c>
      <c r="F32" s="199">
        <f>C32*'System Calculation'!$I$14</f>
        <v>0</v>
      </c>
      <c r="G32" s="57">
        <f>'[1]SC_Lazo 1'!G32</f>
        <v>3.0600000000000002E-3</v>
      </c>
      <c r="H32" s="57">
        <f t="shared" si="3"/>
        <v>0</v>
      </c>
      <c r="I32" s="49"/>
      <c r="J32" s="49"/>
      <c r="K32" s="49" t="str">
        <f>IF(C32&lt;&gt;0,C32," ")</f>
        <v xml:space="preserve"> </v>
      </c>
      <c r="L32" s="49"/>
      <c r="M32" s="106" t="str">
        <f t="shared" ref="M32" si="6">IF(K32&lt;&gt;0,K32," ")</f>
        <v xml:space="preserve"> </v>
      </c>
    </row>
    <row r="33" spans="1:15" ht="25" x14ac:dyDescent="0.25">
      <c r="A33" s="21" t="s">
        <v>23</v>
      </c>
      <c r="B33" s="210" t="s">
        <v>242</v>
      </c>
      <c r="C33" s="19"/>
      <c r="D33" s="57">
        <f>'[1]SC_Lazo 1'!D33</f>
        <v>1.9099999999999998E-4</v>
      </c>
      <c r="E33" s="57">
        <f t="shared" si="2"/>
        <v>0</v>
      </c>
      <c r="F33" s="199">
        <f>C33*'System Calculation'!$I$14</f>
        <v>0</v>
      </c>
      <c r="G33" s="57">
        <f>'[1]SC_Lazo 1'!G33</f>
        <v>5.8399999999999997E-3</v>
      </c>
      <c r="H33" s="57">
        <f t="shared" si="3"/>
        <v>0</v>
      </c>
      <c r="I33" s="49"/>
      <c r="J33" s="49"/>
      <c r="K33" s="49">
        <f t="shared" ref="K33:K39" si="7">IF(C33&lt;&gt;0,C33,0)</f>
        <v>0</v>
      </c>
      <c r="L33" s="49"/>
      <c r="M33" s="106" t="str">
        <f>IF(K33&lt;&gt;0,K33*2," ")</f>
        <v xml:space="preserve"> </v>
      </c>
    </row>
    <row r="34" spans="1:15" ht="25" x14ac:dyDescent="0.25">
      <c r="A34" s="21" t="s">
        <v>33</v>
      </c>
      <c r="B34" s="210" t="s">
        <v>243</v>
      </c>
      <c r="C34" s="19"/>
      <c r="D34" s="57">
        <f>'[1]SC_Lazo 1'!D34</f>
        <v>1.8880000000000001E-4</v>
      </c>
      <c r="E34" s="57">
        <f t="shared" si="2"/>
        <v>0</v>
      </c>
      <c r="F34" s="199">
        <f>C34*'System Calculation'!$I$14</f>
        <v>0</v>
      </c>
      <c r="G34" s="57">
        <f>'[1]SC_Lazo 1'!G34</f>
        <v>3.9500000000000004E-3</v>
      </c>
      <c r="H34" s="57">
        <f t="shared" si="3"/>
        <v>0</v>
      </c>
      <c r="I34" s="49"/>
      <c r="J34" s="49"/>
      <c r="K34" s="49">
        <f t="shared" si="7"/>
        <v>0</v>
      </c>
      <c r="L34" s="49"/>
      <c r="M34" s="106" t="str">
        <f>IF(KJ34&lt;&gt;0,K34*5," ")</f>
        <v xml:space="preserve"> </v>
      </c>
      <c r="O34" s="13" t="str">
        <f t="shared" ref="O34" si="8">IF(AND(C34&gt;0),"Info: External 24V needed. Control Panel could provide from 24Vaux, if 500mA maximum current isn't exceeded."," ")</f>
        <v xml:space="preserve"> </v>
      </c>
    </row>
    <row r="35" spans="1:15" ht="25" x14ac:dyDescent="0.25">
      <c r="A35" s="21" t="s">
        <v>34</v>
      </c>
      <c r="B35" s="210" t="s">
        <v>244</v>
      </c>
      <c r="C35" s="19"/>
      <c r="D35" s="57">
        <f>'[1]SC_Lazo 1'!D35</f>
        <v>1.8919999999999999E-4</v>
      </c>
      <c r="E35" s="57">
        <f t="shared" si="2"/>
        <v>0</v>
      </c>
      <c r="F35" s="199">
        <f>C35*'System Calculation'!$I$14</f>
        <v>0</v>
      </c>
      <c r="G35" s="57">
        <f>'[1]SC_Lazo 1'!G35</f>
        <v>4.8399999999999997E-3</v>
      </c>
      <c r="H35" s="57">
        <f t="shared" si="3"/>
        <v>0</v>
      </c>
      <c r="I35" s="49"/>
      <c r="J35" s="49"/>
      <c r="K35" s="49">
        <f t="shared" si="7"/>
        <v>0</v>
      </c>
      <c r="L35" s="49"/>
      <c r="M35" s="106" t="str">
        <f>IF(K35&lt;&gt;0,K35*10," ")</f>
        <v xml:space="preserve"> </v>
      </c>
      <c r="O35" s="13" t="str">
        <f>IF(AND(C33&gt;0),"Info: External 24V needed. Control Panel could provide from 24Vaux, if 500mA maximum current isn't exceeded."," ")</f>
        <v xml:space="preserve"> </v>
      </c>
    </row>
    <row r="36" spans="1:15" ht="25" x14ac:dyDescent="0.25">
      <c r="A36" s="21" t="s">
        <v>24</v>
      </c>
      <c r="B36" s="210" t="s">
        <v>245</v>
      </c>
      <c r="C36" s="19"/>
      <c r="D36" s="57">
        <f>'[1]SC_Lazo 1'!D36</f>
        <v>2.1009999999999998E-4</v>
      </c>
      <c r="E36" s="57">
        <f t="shared" si="2"/>
        <v>0</v>
      </c>
      <c r="F36" s="199">
        <f>C36*'System Calculation'!$I$14</f>
        <v>0</v>
      </c>
      <c r="G36" s="57">
        <f>'[1]SC_Lazo 1'!G36</f>
        <v>5.9199999999999999E-3</v>
      </c>
      <c r="H36" s="57">
        <f t="shared" si="3"/>
        <v>0</v>
      </c>
      <c r="I36" s="49"/>
      <c r="J36" s="49"/>
      <c r="K36" s="49">
        <f t="shared" si="7"/>
        <v>0</v>
      </c>
      <c r="L36" s="49"/>
      <c r="M36" s="106" t="str">
        <f>IF(K36&lt;&gt;0,K36*2," ")</f>
        <v xml:space="preserve"> </v>
      </c>
      <c r="O36" s="13"/>
    </row>
    <row r="37" spans="1:15" ht="25" x14ac:dyDescent="0.25">
      <c r="A37" s="21" t="s">
        <v>25</v>
      </c>
      <c r="B37" s="210" t="s">
        <v>246</v>
      </c>
      <c r="C37" s="19"/>
      <c r="D37" s="57">
        <f>'[1]SC_Lazo 1'!D37</f>
        <v>2.34E-4</v>
      </c>
      <c r="E37" s="57">
        <f t="shared" si="2"/>
        <v>0</v>
      </c>
      <c r="F37" s="199">
        <f>C37*'System Calculation'!$I$14</f>
        <v>0</v>
      </c>
      <c r="G37" s="57">
        <f>'[1]SC_Lazo 1'!G37</f>
        <v>5.9100000000000003E-3</v>
      </c>
      <c r="H37" s="57">
        <f t="shared" si="3"/>
        <v>0</v>
      </c>
      <c r="I37" s="49"/>
      <c r="J37" s="49"/>
      <c r="K37" s="49">
        <f t="shared" si="7"/>
        <v>0</v>
      </c>
      <c r="L37" s="49"/>
      <c r="M37" s="106" t="str">
        <f>IF(K37&lt;&gt;0,K37*4," ")</f>
        <v xml:space="preserve"> </v>
      </c>
      <c r="O37" s="13"/>
    </row>
    <row r="38" spans="1:15" ht="25" x14ac:dyDescent="0.25">
      <c r="A38" s="21" t="s">
        <v>35</v>
      </c>
      <c r="B38" s="210" t="s">
        <v>247</v>
      </c>
      <c r="C38" s="19"/>
      <c r="D38" s="57">
        <f>'[1]SC_Lazo 1'!D38</f>
        <v>2.8399999999999996E-4</v>
      </c>
      <c r="E38" s="57">
        <f t="shared" si="2"/>
        <v>0</v>
      </c>
      <c r="F38" s="199">
        <f>C38*'System Calculation'!$I$14</f>
        <v>0</v>
      </c>
      <c r="G38" s="57">
        <f>'[1]SC_Lazo 1'!G38</f>
        <v>4.0800000000000003E-3</v>
      </c>
      <c r="H38" s="57">
        <f t="shared" si="3"/>
        <v>0</v>
      </c>
      <c r="I38" s="49"/>
      <c r="J38" s="49"/>
      <c r="K38" s="49">
        <f t="shared" si="7"/>
        <v>0</v>
      </c>
      <c r="L38" s="49"/>
      <c r="M38" s="106" t="str">
        <f>IF(K38&lt;&gt;0,K38*10," ")</f>
        <v xml:space="preserve"> </v>
      </c>
      <c r="O38" s="13" t="str">
        <f t="shared" ref="O38:O43" si="9">IF(AND(C38&gt;0),"Info: External 24V needed. Control Panel could provide from 24Vaux, if 500mA maximum current isn't exceeded."," ")</f>
        <v xml:space="preserve"> </v>
      </c>
    </row>
    <row r="39" spans="1:15" ht="25" x14ac:dyDescent="0.25">
      <c r="A39" s="21" t="s">
        <v>36</v>
      </c>
      <c r="B39" s="210" t="s">
        <v>248</v>
      </c>
      <c r="C39" s="19"/>
      <c r="D39" s="57">
        <f>'[1]SC_Lazo 1'!D39</f>
        <v>3.7659999999999999E-4</v>
      </c>
      <c r="E39" s="57">
        <f t="shared" si="2"/>
        <v>0</v>
      </c>
      <c r="F39" s="199">
        <f>C39*'System Calculation'!$I$14</f>
        <v>0</v>
      </c>
      <c r="G39" s="57">
        <f>'[1]SC_Lazo 1'!G39</f>
        <v>5.0000000000000001E-3</v>
      </c>
      <c r="H39" s="57">
        <f t="shared" si="3"/>
        <v>0</v>
      </c>
      <c r="I39" s="49"/>
      <c r="J39" s="49"/>
      <c r="K39" s="49">
        <f t="shared" si="7"/>
        <v>0</v>
      </c>
      <c r="L39" s="49"/>
      <c r="M39" s="106" t="str">
        <f>IF(K39&lt;&gt;0,K39*20," ")</f>
        <v xml:space="preserve"> </v>
      </c>
      <c r="O39" s="13" t="str">
        <f t="shared" si="9"/>
        <v xml:space="preserve"> </v>
      </c>
    </row>
    <row r="40" spans="1:15" ht="25" x14ac:dyDescent="0.25">
      <c r="A40" s="21" t="s">
        <v>26</v>
      </c>
      <c r="B40" s="210" t="s">
        <v>249</v>
      </c>
      <c r="C40" s="19"/>
      <c r="D40" s="57">
        <f>'[1]SC_Lazo 1'!D40</f>
        <v>2.1499999999999999E-4</v>
      </c>
      <c r="E40" s="57">
        <f t="shared" si="2"/>
        <v>0</v>
      </c>
      <c r="F40" s="199">
        <f>C40*'System Calculation'!$I$14</f>
        <v>0</v>
      </c>
      <c r="G40" s="57">
        <f>'[1]SC_Lazo 1'!G40</f>
        <v>3.6099999999999999E-3</v>
      </c>
      <c r="H40" s="57">
        <f t="shared" si="3"/>
        <v>0</v>
      </c>
      <c r="I40" s="49"/>
      <c r="J40" s="49"/>
      <c r="K40" s="49" t="str">
        <f>IF(C40&lt;&gt;0,C40," ")</f>
        <v xml:space="preserve"> </v>
      </c>
      <c r="L40" s="49"/>
      <c r="M40" s="106" t="str">
        <f>IF(K40&lt;&gt;0,K40," ")</f>
        <v xml:space="preserve"> </v>
      </c>
      <c r="O40" s="13" t="str">
        <f t="shared" si="9"/>
        <v xml:space="preserve"> </v>
      </c>
    </row>
    <row r="41" spans="1:15" ht="25" x14ac:dyDescent="0.25">
      <c r="A41" s="21" t="s">
        <v>27</v>
      </c>
      <c r="B41" s="210" t="s">
        <v>250</v>
      </c>
      <c r="C41" s="19"/>
      <c r="D41" s="57">
        <f>'[1]SC_Lazo 1'!D41</f>
        <v>2.0330000000000001E-4</v>
      </c>
      <c r="E41" s="57">
        <f t="shared" si="2"/>
        <v>0</v>
      </c>
      <c r="F41" s="199">
        <f>C41*'System Calculation'!$I$14</f>
        <v>0</v>
      </c>
      <c r="G41" s="57">
        <f>'[1]SC_Lazo 1'!G41</f>
        <v>6.7999999999999996E-3</v>
      </c>
      <c r="H41" s="57">
        <f t="shared" si="3"/>
        <v>0</v>
      </c>
      <c r="I41" s="49"/>
      <c r="J41" s="49"/>
      <c r="K41" s="49" t="str">
        <f t="shared" ref="K41:K43" si="10">IF(C41&lt;&gt;0,C41," ")</f>
        <v xml:space="preserve"> </v>
      </c>
      <c r="L41" s="49"/>
      <c r="M41" s="106" t="str">
        <f>IF(K41&lt;&gt;0,K41," ")</f>
        <v xml:space="preserve"> </v>
      </c>
      <c r="O41" s="13" t="str">
        <f t="shared" si="9"/>
        <v xml:space="preserve"> </v>
      </c>
    </row>
    <row r="42" spans="1:15" ht="25" x14ac:dyDescent="0.25">
      <c r="A42" s="21" t="s">
        <v>28</v>
      </c>
      <c r="B42" s="210" t="s">
        <v>251</v>
      </c>
      <c r="C42" s="19"/>
      <c r="D42" s="57">
        <f>'[1]SC_Lazo 1'!D42</f>
        <v>1.8780000000000001E-4</v>
      </c>
      <c r="E42" s="57">
        <f t="shared" si="2"/>
        <v>0</v>
      </c>
      <c r="F42" s="199">
        <f>C42*'System Calculation'!$I$14</f>
        <v>0</v>
      </c>
      <c r="G42" s="57">
        <f>'[1]SC_Lazo 1'!G42</f>
        <v>3.0400000000000002E-3</v>
      </c>
      <c r="H42" s="57">
        <f t="shared" si="3"/>
        <v>0</v>
      </c>
      <c r="I42" s="49"/>
      <c r="J42" s="49"/>
      <c r="K42" s="49" t="str">
        <f t="shared" si="10"/>
        <v xml:space="preserve"> </v>
      </c>
      <c r="L42" s="49"/>
      <c r="M42" s="106" t="str">
        <f t="shared" ref="M42:M43" si="11">IF(K42&lt;&gt;0,K42," ")</f>
        <v xml:space="preserve"> </v>
      </c>
      <c r="O42" s="13" t="str">
        <f t="shared" si="9"/>
        <v xml:space="preserve"> </v>
      </c>
    </row>
    <row r="43" spans="1:15" ht="25" x14ac:dyDescent="0.25">
      <c r="A43" s="21" t="s">
        <v>29</v>
      </c>
      <c r="B43" s="210" t="s">
        <v>252</v>
      </c>
      <c r="C43" s="19"/>
      <c r="D43" s="57">
        <f>'[1]SC_Lazo 1'!D43</f>
        <v>1.8780000000000001E-4</v>
      </c>
      <c r="E43" s="57">
        <f t="shared" si="2"/>
        <v>0</v>
      </c>
      <c r="F43" s="199">
        <f>C43*'System Calculation'!$I$14</f>
        <v>0</v>
      </c>
      <c r="G43" s="57">
        <f>'[1]SC_Lazo 1'!G43</f>
        <v>5.8399999999999997E-3</v>
      </c>
      <c r="H43" s="57">
        <f t="shared" si="3"/>
        <v>0</v>
      </c>
      <c r="I43" s="49"/>
      <c r="J43" s="49"/>
      <c r="K43" s="49" t="str">
        <f t="shared" si="10"/>
        <v xml:space="preserve"> </v>
      </c>
      <c r="L43" s="49"/>
      <c r="M43" s="106" t="str">
        <f t="shared" si="11"/>
        <v xml:space="preserve"> </v>
      </c>
      <c r="O43" s="13" t="str">
        <f t="shared" si="9"/>
        <v xml:space="preserve"> </v>
      </c>
    </row>
    <row r="44" spans="1:15" ht="25" x14ac:dyDescent="0.25">
      <c r="A44" s="21" t="s">
        <v>30</v>
      </c>
      <c r="B44" s="210" t="s">
        <v>253</v>
      </c>
      <c r="C44" s="19"/>
      <c r="D44" s="57">
        <f>'[1]SC_Lazo 1'!D44</f>
        <v>1.7659999999999998E-4</v>
      </c>
      <c r="E44" s="57">
        <f t="shared" si="2"/>
        <v>0</v>
      </c>
      <c r="F44" s="199">
        <f>C44*'System Calculation'!$I$12</f>
        <v>0</v>
      </c>
      <c r="G44" s="57">
        <f>'[1]SC_Lazo 1'!G44</f>
        <v>3.0299999999999997E-3</v>
      </c>
      <c r="H44" s="57">
        <f t="shared" si="3"/>
        <v>0</v>
      </c>
      <c r="I44" s="49"/>
      <c r="J44" s="49" t="str">
        <f t="shared" ref="J44:J45" si="12">IF(C44&lt;&gt;0,C44," ")</f>
        <v xml:space="preserve"> </v>
      </c>
      <c r="K44" s="49"/>
      <c r="L44" s="49"/>
      <c r="M44" s="106" t="str">
        <f t="shared" si="4"/>
        <v xml:space="preserve"> </v>
      </c>
    </row>
    <row r="45" spans="1:15" ht="25" x14ac:dyDescent="0.25">
      <c r="A45" s="21" t="s">
        <v>37</v>
      </c>
      <c r="B45" s="210" t="s">
        <v>253</v>
      </c>
      <c r="C45" s="19"/>
      <c r="D45" s="57">
        <f>'[1]SC_Lazo 1'!D45</f>
        <v>1.774E-4</v>
      </c>
      <c r="E45" s="57">
        <f t="shared" si="2"/>
        <v>0</v>
      </c>
      <c r="F45" s="199">
        <f>C45*'System Calculation'!$I$12</f>
        <v>0</v>
      </c>
      <c r="G45" s="57">
        <f>'[1]SC_Lazo 1'!G45</f>
        <v>3.0000000000000001E-3</v>
      </c>
      <c r="H45" s="57">
        <f t="shared" si="3"/>
        <v>0</v>
      </c>
      <c r="I45" s="49"/>
      <c r="J45" s="49" t="str">
        <f t="shared" si="12"/>
        <v xml:space="preserve"> </v>
      </c>
      <c r="K45" s="49"/>
      <c r="L45" s="49"/>
      <c r="M45" s="106" t="str">
        <f t="shared" si="4"/>
        <v xml:space="preserve"> </v>
      </c>
    </row>
    <row r="46" spans="1:15" ht="25" x14ac:dyDescent="0.25">
      <c r="A46" s="18" t="s">
        <v>14</v>
      </c>
      <c r="B46" s="209" t="s">
        <v>254</v>
      </c>
      <c r="C46" s="19"/>
      <c r="D46" s="57">
        <f>'[1]SC_Lazo 1'!D46</f>
        <v>1.7689999999999999E-4</v>
      </c>
      <c r="E46" s="57">
        <f t="shared" si="2"/>
        <v>0</v>
      </c>
      <c r="F46" s="199">
        <f>C46*'System Calculation'!$I$13</f>
        <v>0</v>
      </c>
      <c r="G46" s="57">
        <f>'[1]SC_Lazo 1'!G46</f>
        <v>8.3499999999999998E-3</v>
      </c>
      <c r="H46" s="57">
        <f>F46*G46</f>
        <v>0</v>
      </c>
      <c r="I46" s="49" t="str">
        <f>IF(C46*H46=0," ",H46)</f>
        <v xml:space="preserve"> </v>
      </c>
      <c r="J46" s="49"/>
      <c r="K46" s="49"/>
      <c r="L46" s="49" t="str">
        <f t="shared" ref="L46:L66" si="13">IF(C46&lt;&gt;0,C46," ")</f>
        <v xml:space="preserve"> </v>
      </c>
      <c r="M46" s="106" t="str">
        <f>IF(L46&lt;&gt;0,L46," ")</f>
        <v xml:space="preserve"> </v>
      </c>
    </row>
    <row r="47" spans="1:15" ht="25" x14ac:dyDescent="0.25">
      <c r="A47" s="21" t="s">
        <v>205</v>
      </c>
      <c r="B47" s="209" t="s">
        <v>254</v>
      </c>
      <c r="C47" s="19"/>
      <c r="D47" s="57">
        <f>'[1]SC_Lazo 1'!D47</f>
        <v>1.7649999999999998E-4</v>
      </c>
      <c r="E47" s="57">
        <f t="shared" si="2"/>
        <v>0</v>
      </c>
      <c r="F47" s="199">
        <f>C47*'System Calculation'!$I$13</f>
        <v>0</v>
      </c>
      <c r="G47" s="57">
        <f>'[1]SC_Lazo 1'!G47</f>
        <v>1.2320000000000001E-2</v>
      </c>
      <c r="H47" s="57">
        <f t="shared" si="3"/>
        <v>0</v>
      </c>
      <c r="I47" s="49" t="str">
        <f t="shared" ref="I47:I66" si="14">IF(C47*H47=0," ",H47)</f>
        <v xml:space="preserve"> </v>
      </c>
      <c r="J47" s="49"/>
      <c r="K47" s="49"/>
      <c r="L47" s="49" t="str">
        <f t="shared" si="13"/>
        <v xml:space="preserve"> </v>
      </c>
      <c r="M47" s="106" t="str">
        <f t="shared" ref="M47:M66" si="15">IF(L47&lt;&gt;0,L47," ")</f>
        <v xml:space="preserve"> </v>
      </c>
    </row>
    <row r="48" spans="1:15" ht="25" x14ac:dyDescent="0.25">
      <c r="A48" s="21" t="s">
        <v>206</v>
      </c>
      <c r="B48" s="209" t="s">
        <v>254</v>
      </c>
      <c r="C48" s="19"/>
      <c r="D48" s="57">
        <f>'[1]SC_Lazo 1'!D48</f>
        <v>1.7649999999999998E-4</v>
      </c>
      <c r="E48" s="57">
        <f t="shared" si="2"/>
        <v>0</v>
      </c>
      <c r="F48" s="199">
        <f>C48*'System Calculation'!$I$13</f>
        <v>0</v>
      </c>
      <c r="G48" s="57">
        <f>'[1]SC_Lazo 1'!G48</f>
        <v>1.2320000000000001E-2</v>
      </c>
      <c r="H48" s="57">
        <f t="shared" si="3"/>
        <v>0</v>
      </c>
      <c r="I48" s="49" t="str">
        <f t="shared" si="14"/>
        <v xml:space="preserve"> </v>
      </c>
      <c r="J48" s="49"/>
      <c r="K48" s="49"/>
      <c r="L48" s="49" t="str">
        <f t="shared" si="13"/>
        <v xml:space="preserve"> </v>
      </c>
      <c r="M48" s="106" t="str">
        <f t="shared" si="15"/>
        <v xml:space="preserve"> </v>
      </c>
    </row>
    <row r="49" spans="1:15" ht="25" x14ac:dyDescent="0.25">
      <c r="A49" s="21" t="s">
        <v>207</v>
      </c>
      <c r="B49" s="209" t="s">
        <v>254</v>
      </c>
      <c r="C49" s="19"/>
      <c r="D49" s="57">
        <f>'[1]SC_Lazo 1'!D49</f>
        <v>1.7649999999999998E-4</v>
      </c>
      <c r="E49" s="57">
        <f t="shared" si="2"/>
        <v>0</v>
      </c>
      <c r="F49" s="199">
        <f>C49*'System Calculation'!$I$13</f>
        <v>0</v>
      </c>
      <c r="G49" s="57">
        <f>'[1]SC_Lazo 1'!G49</f>
        <v>1.2320000000000001E-2</v>
      </c>
      <c r="H49" s="57">
        <f t="shared" si="3"/>
        <v>0</v>
      </c>
      <c r="I49" s="49" t="str">
        <f t="shared" si="14"/>
        <v xml:space="preserve"> </v>
      </c>
      <c r="J49" s="49"/>
      <c r="K49" s="49"/>
      <c r="L49" s="49" t="str">
        <f t="shared" si="13"/>
        <v xml:space="preserve"> </v>
      </c>
      <c r="M49" s="106" t="str">
        <f t="shared" si="15"/>
        <v xml:space="preserve"> </v>
      </c>
    </row>
    <row r="50" spans="1:15" ht="37.5" x14ac:dyDescent="0.25">
      <c r="A50" s="21" t="s">
        <v>209</v>
      </c>
      <c r="B50" s="210" t="s">
        <v>255</v>
      </c>
      <c r="C50" s="19"/>
      <c r="D50" s="57">
        <f>'[1]SC_Lazo 1'!D50</f>
        <v>1.773E-4</v>
      </c>
      <c r="E50" s="57">
        <f t="shared" si="2"/>
        <v>0</v>
      </c>
      <c r="F50" s="199">
        <f>C50*'System Calculation'!$I$13</f>
        <v>0</v>
      </c>
      <c r="G50" s="57">
        <f>'[1]SC_Lazo 1'!G50</f>
        <v>1.2320000000000001E-2</v>
      </c>
      <c r="H50" s="57">
        <f t="shared" si="3"/>
        <v>0</v>
      </c>
      <c r="I50" s="49" t="str">
        <f t="shared" si="14"/>
        <v xml:space="preserve"> </v>
      </c>
      <c r="J50" s="49"/>
      <c r="K50" s="49"/>
      <c r="L50" s="49" t="str">
        <f t="shared" si="13"/>
        <v xml:space="preserve"> </v>
      </c>
      <c r="M50" s="106" t="str">
        <f t="shared" si="15"/>
        <v xml:space="preserve"> </v>
      </c>
    </row>
    <row r="51" spans="1:15" ht="37.5" x14ac:dyDescent="0.25">
      <c r="A51" s="21" t="s">
        <v>208</v>
      </c>
      <c r="B51" s="210" t="s">
        <v>255</v>
      </c>
      <c r="C51" s="19"/>
      <c r="D51" s="57">
        <f>'[1]SC_Lazo 1'!D51</f>
        <v>1.773E-4</v>
      </c>
      <c r="E51" s="57">
        <f t="shared" si="2"/>
        <v>0</v>
      </c>
      <c r="F51" s="199">
        <f>C51*'System Calculation'!$I$13</f>
        <v>0</v>
      </c>
      <c r="G51" s="57">
        <f>'[1]SC_Lazo 1'!G51</f>
        <v>1.2320000000000001E-2</v>
      </c>
      <c r="H51" s="57">
        <f t="shared" si="3"/>
        <v>0</v>
      </c>
      <c r="I51" s="49" t="str">
        <f t="shared" si="14"/>
        <v xml:space="preserve"> </v>
      </c>
      <c r="J51" s="49"/>
      <c r="K51" s="49"/>
      <c r="L51" s="49" t="str">
        <f t="shared" si="13"/>
        <v xml:space="preserve"> </v>
      </c>
      <c r="M51" s="106" t="str">
        <f t="shared" si="15"/>
        <v xml:space="preserve"> </v>
      </c>
    </row>
    <row r="52" spans="1:15" ht="37.5" x14ac:dyDescent="0.25">
      <c r="A52" s="21" t="s">
        <v>210</v>
      </c>
      <c r="B52" s="210" t="s">
        <v>255</v>
      </c>
      <c r="C52" s="19"/>
      <c r="D52" s="57">
        <f>'[1]SC_Lazo 1'!D52</f>
        <v>1.773E-4</v>
      </c>
      <c r="E52" s="57">
        <f t="shared" si="2"/>
        <v>0</v>
      </c>
      <c r="F52" s="199">
        <f>C52*'System Calculation'!$I$13</f>
        <v>0</v>
      </c>
      <c r="G52" s="57">
        <f>'[1]SC_Lazo 1'!G52</f>
        <v>1.2320000000000001E-2</v>
      </c>
      <c r="H52" s="57">
        <f t="shared" si="3"/>
        <v>0</v>
      </c>
      <c r="I52" s="49" t="str">
        <f t="shared" si="14"/>
        <v xml:space="preserve"> </v>
      </c>
      <c r="J52" s="49"/>
      <c r="K52" s="49"/>
      <c r="L52" s="49" t="str">
        <f t="shared" si="13"/>
        <v xml:space="preserve"> </v>
      </c>
      <c r="M52" s="106" t="str">
        <f t="shared" si="15"/>
        <v xml:space="preserve"> </v>
      </c>
    </row>
    <row r="53" spans="1:15" ht="25" x14ac:dyDescent="0.25">
      <c r="A53" s="21" t="s">
        <v>211</v>
      </c>
      <c r="B53" s="209" t="s">
        <v>254</v>
      </c>
      <c r="C53" s="19"/>
      <c r="D53" s="57">
        <f>'[1]SC_Lazo 1'!D53</f>
        <v>1.58E-3</v>
      </c>
      <c r="E53" s="57">
        <f t="shared" si="2"/>
        <v>0</v>
      </c>
      <c r="F53" s="199">
        <f>C53*'System Calculation'!$I$13</f>
        <v>0</v>
      </c>
      <c r="G53" s="57">
        <f>'[1]SC_Lazo 1'!G53</f>
        <v>2.111E-2</v>
      </c>
      <c r="H53" s="57">
        <f t="shared" si="3"/>
        <v>0</v>
      </c>
      <c r="I53" s="49" t="str">
        <f t="shared" si="14"/>
        <v xml:space="preserve"> </v>
      </c>
      <c r="J53" s="49"/>
      <c r="K53" s="49"/>
      <c r="L53" s="49" t="str">
        <f t="shared" si="13"/>
        <v xml:space="preserve"> </v>
      </c>
      <c r="M53" s="106" t="str">
        <f t="shared" si="15"/>
        <v xml:space="preserve"> </v>
      </c>
    </row>
    <row r="54" spans="1:15" ht="25" x14ac:dyDescent="0.25">
      <c r="A54" s="21" t="s">
        <v>212</v>
      </c>
      <c r="B54" s="209" t="s">
        <v>254</v>
      </c>
      <c r="C54" s="19"/>
      <c r="D54" s="57">
        <f>'[1]SC_Lazo 1'!D54</f>
        <v>3.5E-4</v>
      </c>
      <c r="E54" s="57">
        <f t="shared" si="2"/>
        <v>0</v>
      </c>
      <c r="F54" s="199">
        <f>C54*'System Calculation'!$I$13</f>
        <v>0</v>
      </c>
      <c r="G54" s="57">
        <f>'[1]SC_Lazo 1'!G54</f>
        <v>8.0000000000000004E-4</v>
      </c>
      <c r="H54" s="57">
        <f t="shared" si="3"/>
        <v>0</v>
      </c>
      <c r="I54" s="49" t="str">
        <f t="shared" si="14"/>
        <v xml:space="preserve"> </v>
      </c>
      <c r="J54" s="49"/>
      <c r="K54" s="49"/>
      <c r="L54" s="49" t="str">
        <f t="shared" si="13"/>
        <v xml:space="preserve"> </v>
      </c>
      <c r="M54" s="106" t="str">
        <f t="shared" si="15"/>
        <v xml:space="preserve"> </v>
      </c>
      <c r="O54" s="13" t="str">
        <f>IF(AND(C53&gt;0),"Info: External 24V needed. EN 54-4 certificate."," ")</f>
        <v xml:space="preserve"> </v>
      </c>
    </row>
    <row r="55" spans="1:15" ht="25" x14ac:dyDescent="0.25">
      <c r="A55" s="21" t="s">
        <v>213</v>
      </c>
      <c r="B55" s="210" t="s">
        <v>256</v>
      </c>
      <c r="C55" s="19"/>
      <c r="D55" s="57">
        <f>'[1]SC_Lazo 1'!D55</f>
        <v>1.58E-3</v>
      </c>
      <c r="E55" s="57">
        <f t="shared" si="2"/>
        <v>0</v>
      </c>
      <c r="F55" s="199">
        <f>C55*'System Calculation'!$I$13</f>
        <v>0</v>
      </c>
      <c r="G55" s="57">
        <f>'[1]SC_Lazo 1'!G55</f>
        <v>3.3450000000000001E-2</v>
      </c>
      <c r="H55" s="57">
        <f t="shared" si="3"/>
        <v>0</v>
      </c>
      <c r="I55" s="49" t="str">
        <f t="shared" si="14"/>
        <v xml:space="preserve"> </v>
      </c>
      <c r="J55" s="49"/>
      <c r="K55" s="49"/>
      <c r="L55" s="49" t="str">
        <f t="shared" si="13"/>
        <v xml:space="preserve"> </v>
      </c>
      <c r="M55" s="106" t="str">
        <f t="shared" si="15"/>
        <v xml:space="preserve"> </v>
      </c>
    </row>
    <row r="56" spans="1:15" ht="25" x14ac:dyDescent="0.25">
      <c r="A56" s="21" t="s">
        <v>216</v>
      </c>
      <c r="B56" s="210" t="s">
        <v>256</v>
      </c>
      <c r="C56" s="202"/>
      <c r="D56" s="57">
        <f>'[1]SC_Lazo 1'!D56</f>
        <v>3.5E-4</v>
      </c>
      <c r="E56" s="57">
        <f t="shared" si="2"/>
        <v>0</v>
      </c>
      <c r="F56" s="199">
        <f>C56*'System Calculation'!$I$13</f>
        <v>0</v>
      </c>
      <c r="G56" s="57">
        <f>'[1]SC_Lazo 1'!G56</f>
        <v>8.0000000000000004E-4</v>
      </c>
      <c r="H56" s="57">
        <f t="shared" si="3"/>
        <v>0</v>
      </c>
      <c r="I56" s="49" t="str">
        <f t="shared" si="14"/>
        <v xml:space="preserve"> </v>
      </c>
      <c r="J56" s="49"/>
      <c r="K56" s="49"/>
      <c r="L56" s="49" t="str">
        <f t="shared" si="13"/>
        <v xml:space="preserve"> </v>
      </c>
      <c r="M56" s="106" t="str">
        <f t="shared" si="15"/>
        <v xml:space="preserve"> </v>
      </c>
      <c r="O56" s="13" t="str">
        <f>IF(AND(C55&gt;0),"Info: External 24V needed. EN 54-4 certificate."," ")</f>
        <v xml:space="preserve"> </v>
      </c>
    </row>
    <row r="57" spans="1:15" ht="25" x14ac:dyDescent="0.25">
      <c r="A57" s="21" t="s">
        <v>219</v>
      </c>
      <c r="B57" s="210" t="s">
        <v>257</v>
      </c>
      <c r="C57" s="202"/>
      <c r="D57" s="57">
        <f>'[1]SC_Lazo 1'!D57</f>
        <v>1.58E-3</v>
      </c>
      <c r="E57" s="57">
        <f>C57*D57</f>
        <v>0</v>
      </c>
      <c r="F57" s="199">
        <f>C57*'System Calculation'!$I$13</f>
        <v>0</v>
      </c>
      <c r="G57" s="57">
        <f>'[1]SC_Lazo 1'!G57</f>
        <v>3.3450000000000001E-2</v>
      </c>
      <c r="H57" s="57">
        <f t="shared" si="3"/>
        <v>0</v>
      </c>
      <c r="I57" s="49" t="str">
        <f t="shared" si="14"/>
        <v xml:space="preserve"> </v>
      </c>
      <c r="J57" s="49"/>
      <c r="K57" s="49"/>
      <c r="L57" s="49" t="str">
        <f t="shared" si="13"/>
        <v xml:space="preserve"> </v>
      </c>
      <c r="M57" s="106" t="str">
        <f t="shared" si="15"/>
        <v xml:space="preserve"> </v>
      </c>
    </row>
    <row r="58" spans="1:15" ht="25" x14ac:dyDescent="0.25">
      <c r="A58" s="21" t="s">
        <v>220</v>
      </c>
      <c r="B58" s="210" t="s">
        <v>257</v>
      </c>
      <c r="C58" s="19"/>
      <c r="D58" s="57">
        <f>'[1]SC_Lazo 1'!D58</f>
        <v>3.5E-4</v>
      </c>
      <c r="E58" s="57">
        <f t="shared" ref="E58" si="16">C58*D58</f>
        <v>0</v>
      </c>
      <c r="F58" s="199">
        <f>C58*'System Calculation'!$I$13</f>
        <v>0</v>
      </c>
      <c r="G58" s="57">
        <f>'[1]SC_Lazo 1'!G58</f>
        <v>8.0000000000000004E-4</v>
      </c>
      <c r="H58" s="57">
        <f t="shared" si="3"/>
        <v>0</v>
      </c>
      <c r="I58" s="49" t="str">
        <f t="shared" si="14"/>
        <v xml:space="preserve"> </v>
      </c>
      <c r="J58" s="49"/>
      <c r="K58" s="49"/>
      <c r="L58" s="49" t="str">
        <f t="shared" si="13"/>
        <v xml:space="preserve"> </v>
      </c>
      <c r="M58" s="106" t="str">
        <f t="shared" si="15"/>
        <v xml:space="preserve"> </v>
      </c>
      <c r="O58" s="13" t="str">
        <f>IF(AND(C57&gt;0),"Info: External 24V needed. EN 54-4 certificate."," ")</f>
        <v xml:space="preserve"> </v>
      </c>
    </row>
    <row r="59" spans="1:15" ht="25" x14ac:dyDescent="0.25">
      <c r="A59" s="21" t="s">
        <v>214</v>
      </c>
      <c r="B59" s="210" t="s">
        <v>258</v>
      </c>
      <c r="C59" s="19"/>
      <c r="D59" s="57">
        <f>'[1]SC_Lazo 1'!D59</f>
        <v>1.17E-3</v>
      </c>
      <c r="E59" s="57">
        <f t="shared" si="2"/>
        <v>0</v>
      </c>
      <c r="F59" s="199">
        <f>C59*'System Calculation'!$I$13</f>
        <v>0</v>
      </c>
      <c r="G59" s="57">
        <f>'[1]SC_Lazo 1'!G59</f>
        <v>8.9499999999999996E-3</v>
      </c>
      <c r="H59" s="57">
        <f t="shared" si="3"/>
        <v>0</v>
      </c>
      <c r="I59" s="49" t="str">
        <f t="shared" si="14"/>
        <v xml:space="preserve"> </v>
      </c>
      <c r="J59" s="49"/>
      <c r="K59" s="49"/>
      <c r="L59" s="49" t="str">
        <f t="shared" si="13"/>
        <v xml:space="preserve"> </v>
      </c>
      <c r="M59" s="106" t="str">
        <f t="shared" si="15"/>
        <v xml:space="preserve"> </v>
      </c>
    </row>
    <row r="60" spans="1:15" ht="25" x14ac:dyDescent="0.25">
      <c r="A60" s="21" t="s">
        <v>217</v>
      </c>
      <c r="B60" s="210" t="s">
        <v>258</v>
      </c>
      <c r="C60" s="202"/>
      <c r="D60" s="57">
        <f>'[1]SC_Lazo 1'!D60</f>
        <v>2.61E-4</v>
      </c>
      <c r="E60" s="57">
        <f t="shared" si="2"/>
        <v>0</v>
      </c>
      <c r="F60" s="199">
        <f>C60*'System Calculation'!$I$13</f>
        <v>0</v>
      </c>
      <c r="G60" s="57">
        <f>'[1]SC_Lazo 1'!G60</f>
        <v>7.1000000000000002E-4</v>
      </c>
      <c r="H60" s="57">
        <f t="shared" si="3"/>
        <v>0</v>
      </c>
      <c r="I60" s="49" t="str">
        <f t="shared" si="14"/>
        <v xml:space="preserve"> </v>
      </c>
      <c r="J60" s="49"/>
      <c r="K60" s="49"/>
      <c r="L60" s="49" t="str">
        <f t="shared" si="13"/>
        <v xml:space="preserve"> </v>
      </c>
      <c r="M60" s="106" t="str">
        <f t="shared" si="15"/>
        <v xml:space="preserve"> </v>
      </c>
      <c r="O60" s="13" t="str">
        <f>IF(AND(C59&gt;0),"Info: External 24V needed. EN 54-4 certificate."," ")</f>
        <v xml:space="preserve"> </v>
      </c>
    </row>
    <row r="61" spans="1:15" ht="25" x14ac:dyDescent="0.25">
      <c r="A61" s="21" t="s">
        <v>215</v>
      </c>
      <c r="B61" s="210" t="s">
        <v>259</v>
      </c>
      <c r="C61" s="202"/>
      <c r="D61" s="57">
        <f>'[1]SC_Lazo 1'!D61</f>
        <v>1.17E-3</v>
      </c>
      <c r="E61" s="57">
        <f t="shared" si="2"/>
        <v>0</v>
      </c>
      <c r="F61" s="199">
        <f>C61*'System Calculation'!$I$13</f>
        <v>0</v>
      </c>
      <c r="G61" s="57">
        <f>'[1]SC_Lazo 1'!G61</f>
        <v>2.3260000000000003E-2</v>
      </c>
      <c r="H61" s="57">
        <f t="shared" si="3"/>
        <v>0</v>
      </c>
      <c r="I61" s="49" t="str">
        <f t="shared" si="14"/>
        <v xml:space="preserve"> </v>
      </c>
      <c r="J61" s="49"/>
      <c r="K61" s="49"/>
      <c r="L61" s="49" t="str">
        <f t="shared" si="13"/>
        <v xml:space="preserve"> </v>
      </c>
      <c r="M61" s="106" t="str">
        <f t="shared" si="15"/>
        <v xml:space="preserve"> </v>
      </c>
    </row>
    <row r="62" spans="1:15" ht="25" x14ac:dyDescent="0.25">
      <c r="A62" s="21" t="s">
        <v>218</v>
      </c>
      <c r="B62" s="210" t="s">
        <v>259</v>
      </c>
      <c r="C62" s="19"/>
      <c r="D62" s="57">
        <f>'[1]SC_Lazo 1'!D62</f>
        <v>2.5889999999999995E-4</v>
      </c>
      <c r="E62" s="57">
        <f t="shared" si="2"/>
        <v>0</v>
      </c>
      <c r="F62" s="199">
        <f>C62*'System Calculation'!$I$13</f>
        <v>0</v>
      </c>
      <c r="G62" s="57">
        <f>'[1]SC_Lazo 1'!G62</f>
        <v>7.1000000000000002E-4</v>
      </c>
      <c r="H62" s="57">
        <f t="shared" si="3"/>
        <v>0</v>
      </c>
      <c r="I62" s="49" t="str">
        <f t="shared" si="14"/>
        <v xml:space="preserve"> </v>
      </c>
      <c r="J62" s="49"/>
      <c r="K62" s="49"/>
      <c r="L62" s="49" t="str">
        <f t="shared" si="13"/>
        <v xml:space="preserve"> </v>
      </c>
      <c r="M62" s="106" t="str">
        <f t="shared" si="15"/>
        <v xml:space="preserve"> </v>
      </c>
      <c r="O62" s="13" t="str">
        <f>IF(AND(C61&gt;0),"Info: External 24V needed. EN 54-4 certificate."," ")</f>
        <v xml:space="preserve"> </v>
      </c>
    </row>
    <row r="63" spans="1:15" ht="25" x14ac:dyDescent="0.25">
      <c r="A63" s="21" t="s">
        <v>221</v>
      </c>
      <c r="B63" s="210" t="s">
        <v>260</v>
      </c>
      <c r="C63" s="19"/>
      <c r="D63" s="57">
        <f>'[1]SC_Lazo 1'!D63</f>
        <v>1.17E-3</v>
      </c>
      <c r="E63" s="57">
        <f t="shared" si="2"/>
        <v>0</v>
      </c>
      <c r="F63" s="199">
        <f>C63*'System Calculation'!$I$13</f>
        <v>0</v>
      </c>
      <c r="G63" s="57">
        <f>'[1]SC_Lazo 1'!G63</f>
        <v>2.3260000000000003E-2</v>
      </c>
      <c r="H63" s="57">
        <f t="shared" si="3"/>
        <v>0</v>
      </c>
      <c r="I63" s="49" t="str">
        <f t="shared" si="14"/>
        <v xml:space="preserve"> </v>
      </c>
      <c r="J63" s="49"/>
      <c r="K63" s="49"/>
      <c r="L63" s="49" t="str">
        <f t="shared" si="13"/>
        <v xml:space="preserve"> </v>
      </c>
      <c r="M63" s="106" t="str">
        <f t="shared" si="15"/>
        <v xml:space="preserve"> </v>
      </c>
    </row>
    <row r="64" spans="1:15" ht="25" x14ac:dyDescent="0.25">
      <c r="A64" s="21" t="s">
        <v>222</v>
      </c>
      <c r="B64" s="210" t="s">
        <v>260</v>
      </c>
      <c r="C64" s="202"/>
      <c r="D64" s="57">
        <f>'[1]SC_Lazo 1'!D64</f>
        <v>2.5889999999999995E-4</v>
      </c>
      <c r="E64" s="57">
        <f t="shared" si="2"/>
        <v>0</v>
      </c>
      <c r="F64" s="199">
        <f>C64*'System Calculation'!$I$13</f>
        <v>0</v>
      </c>
      <c r="G64" s="57">
        <f>'[1]SC_Lazo 1'!G64</f>
        <v>7.1000000000000002E-4</v>
      </c>
      <c r="H64" s="57">
        <f t="shared" si="3"/>
        <v>0</v>
      </c>
      <c r="I64" s="49" t="str">
        <f t="shared" si="14"/>
        <v xml:space="preserve"> </v>
      </c>
      <c r="J64" s="49"/>
      <c r="K64" s="49"/>
      <c r="L64" s="49" t="str">
        <f t="shared" si="13"/>
        <v xml:space="preserve"> </v>
      </c>
      <c r="M64" s="106" t="str">
        <f t="shared" si="15"/>
        <v xml:space="preserve"> </v>
      </c>
      <c r="O64" s="13" t="str">
        <f>IF(AND(C63&gt;0),"Info: External 24V needed. EN 54-4 certificate."," ")</f>
        <v xml:space="preserve"> </v>
      </c>
    </row>
    <row r="65" spans="1:15" x14ac:dyDescent="0.25">
      <c r="A65" s="21" t="s">
        <v>12</v>
      </c>
      <c r="B65" s="210" t="s">
        <v>261</v>
      </c>
      <c r="C65" s="202"/>
      <c r="D65" s="57">
        <f>'[1]SC_Lazo 1'!D65</f>
        <v>1.0739999999999999E-4</v>
      </c>
      <c r="E65" s="57">
        <f>C65*D65</f>
        <v>0</v>
      </c>
      <c r="F65" s="199">
        <f>C65*'System Calculation'!$I$13</f>
        <v>0</v>
      </c>
      <c r="G65" s="57">
        <f>'[1]SC_Lazo 1'!G65</f>
        <v>8.4499999999999992E-3</v>
      </c>
      <c r="H65" s="57">
        <f t="shared" si="3"/>
        <v>0</v>
      </c>
      <c r="I65" s="49" t="str">
        <f t="shared" si="14"/>
        <v xml:space="preserve"> </v>
      </c>
      <c r="J65" s="49"/>
      <c r="K65" s="49"/>
      <c r="L65" s="49" t="str">
        <f t="shared" si="13"/>
        <v xml:space="preserve"> </v>
      </c>
      <c r="M65" s="106" t="str">
        <f t="shared" si="15"/>
        <v xml:space="preserve"> </v>
      </c>
      <c r="O65" s="13" t="str">
        <f>IF(AND(C65&gt;0),"Info: External 24V needed. EN 54-4 certificate."," ")</f>
        <v xml:space="preserve"> </v>
      </c>
    </row>
    <row r="66" spans="1:15" ht="25" x14ac:dyDescent="0.25">
      <c r="A66" s="21" t="s">
        <v>11</v>
      </c>
      <c r="B66" s="210" t="s">
        <v>262</v>
      </c>
      <c r="C66" s="19"/>
      <c r="D66" s="57">
        <f>'[1]SC_Lazo 1'!D66</f>
        <v>1.0679999999999999E-4</v>
      </c>
      <c r="E66" s="57">
        <f t="shared" si="2"/>
        <v>0</v>
      </c>
      <c r="F66" s="199">
        <f>C66*'System Calculation'!$I$13</f>
        <v>0</v>
      </c>
      <c r="G66" s="57">
        <f>'[1]SC_Lazo 1'!G66</f>
        <v>9.4800000000000006E-3</v>
      </c>
      <c r="H66" s="57">
        <f t="shared" si="3"/>
        <v>0</v>
      </c>
      <c r="I66" s="49" t="str">
        <f t="shared" si="14"/>
        <v xml:space="preserve"> </v>
      </c>
      <c r="J66" s="49"/>
      <c r="K66" s="49"/>
      <c r="L66" s="49" t="str">
        <f t="shared" si="13"/>
        <v xml:space="preserve"> </v>
      </c>
      <c r="M66" s="106" t="str">
        <f t="shared" si="15"/>
        <v xml:space="preserve"> </v>
      </c>
    </row>
    <row r="67" spans="1:15" ht="25" x14ac:dyDescent="0.25">
      <c r="A67" s="18" t="s">
        <v>6</v>
      </c>
      <c r="B67" s="209" t="s">
        <v>263</v>
      </c>
      <c r="C67" s="19"/>
      <c r="D67" s="57">
        <f>'[1]SC_Lazo 1'!D67</f>
        <v>2.9999999999999997E-4</v>
      </c>
      <c r="E67" s="57">
        <f t="shared" si="2"/>
        <v>0</v>
      </c>
      <c r="F67" s="199">
        <f>C67*'System Calculation'!$I$14</f>
        <v>0</v>
      </c>
      <c r="G67" s="57">
        <f>'[1]SC_Lazo 1'!G67</f>
        <v>3.0000000000000001E-3</v>
      </c>
      <c r="H67" s="57">
        <f t="shared" si="3"/>
        <v>0</v>
      </c>
      <c r="I67" s="49"/>
      <c r="J67" s="49"/>
      <c r="K67" s="49" t="str">
        <f>IF(C67&lt;&gt;0,C67," ")</f>
        <v xml:space="preserve"> </v>
      </c>
      <c r="L67" s="49"/>
      <c r="M67" s="106" t="str">
        <f>IF(K67&lt;&gt;0,K67," ")</f>
        <v xml:space="preserve"> </v>
      </c>
    </row>
    <row r="68" spans="1:15" ht="37.5" x14ac:dyDescent="0.25">
      <c r="A68" s="21" t="s">
        <v>204</v>
      </c>
      <c r="B68" s="209" t="s">
        <v>264</v>
      </c>
      <c r="C68" s="19"/>
      <c r="D68" s="57">
        <f>'[1]SC_Lazo 1'!D68</f>
        <v>2.9999999999999997E-4</v>
      </c>
      <c r="E68" s="57">
        <f t="shared" si="2"/>
        <v>0</v>
      </c>
      <c r="F68" s="199">
        <f>C68*'System Calculation'!$I$14</f>
        <v>0</v>
      </c>
      <c r="G68" s="57">
        <f>'[1]SC_Lazo 1'!G68</f>
        <v>3.0000000000000001E-3</v>
      </c>
      <c r="H68" s="57">
        <f t="shared" si="3"/>
        <v>0</v>
      </c>
      <c r="I68" s="49"/>
      <c r="J68" s="49"/>
      <c r="K68" s="49" t="str">
        <f>IF(C68&lt;&gt;0,C68," ")</f>
        <v xml:space="preserve"> </v>
      </c>
      <c r="L68" s="49"/>
      <c r="M68" s="106" t="str">
        <f t="shared" ref="M68:M69" si="17">IF(K68&lt;&gt;0,K68," ")</f>
        <v xml:space="preserve"> </v>
      </c>
      <c r="O68" s="13"/>
    </row>
    <row r="69" spans="1:15" x14ac:dyDescent="0.25">
      <c r="A69" s="18" t="s">
        <v>7</v>
      </c>
      <c r="B69" s="209" t="s">
        <v>265</v>
      </c>
      <c r="C69" s="19"/>
      <c r="D69" s="57">
        <f>'[1]SC_Lazo 1'!D69</f>
        <v>6.9599999999999998E-5</v>
      </c>
      <c r="E69" s="57">
        <f t="shared" si="2"/>
        <v>0</v>
      </c>
      <c r="F69" s="199">
        <f>C69*'System Calculation'!$I$14</f>
        <v>0</v>
      </c>
      <c r="G69" s="57">
        <f>'[1]SC_Lazo 1'!G69</f>
        <v>3.7659999999999999E-2</v>
      </c>
      <c r="H69" s="57">
        <f t="shared" si="3"/>
        <v>0</v>
      </c>
      <c r="I69" s="49"/>
      <c r="J69" s="49"/>
      <c r="K69" s="49" t="str">
        <f>IF(C69&lt;&gt;0,C69," ")</f>
        <v xml:space="preserve"> </v>
      </c>
      <c r="L69" s="49"/>
      <c r="M69" s="106" t="str">
        <f t="shared" si="17"/>
        <v xml:space="preserve"> </v>
      </c>
    </row>
    <row r="70" spans="1:15" ht="25" x14ac:dyDescent="0.25">
      <c r="A70" s="21" t="s">
        <v>196</v>
      </c>
      <c r="B70" s="210" t="s">
        <v>266</v>
      </c>
      <c r="C70" s="19"/>
      <c r="D70" s="57">
        <f>'[1]SC_Lazo 1'!D70</f>
        <v>1.7640000000000001E-4</v>
      </c>
      <c r="E70" s="57">
        <f t="shared" si="2"/>
        <v>0</v>
      </c>
      <c r="F70" s="199">
        <f>IF(C70&gt;10,10,C70)</f>
        <v>0</v>
      </c>
      <c r="G70" s="57">
        <f>'[1]SC_Lazo 1'!G70</f>
        <v>2.98E-3</v>
      </c>
      <c r="H70" s="57">
        <f t="shared" si="3"/>
        <v>0</v>
      </c>
      <c r="I70" s="49"/>
      <c r="J70" s="49" t="str">
        <f t="shared" ref="J70" si="18">IF(C70&lt;&gt;0,C70," ")</f>
        <v xml:space="preserve"> </v>
      </c>
      <c r="K70" s="49"/>
      <c r="L70" s="49"/>
      <c r="M70" s="106" t="str">
        <f t="shared" si="4"/>
        <v xml:space="preserve"> </v>
      </c>
    </row>
    <row r="71" spans="1:15" ht="37.5" x14ac:dyDescent="0.25">
      <c r="A71" s="21" t="s">
        <v>71</v>
      </c>
      <c r="B71" s="210" t="s">
        <v>268</v>
      </c>
      <c r="C71" s="19"/>
      <c r="D71" s="57">
        <f>'[1]SC_Lazo 1'!D71</f>
        <v>1.8629999999999999E-3</v>
      </c>
      <c r="E71" s="57">
        <f t="shared" si="2"/>
        <v>0</v>
      </c>
      <c r="F71" s="199">
        <f>C71</f>
        <v>0</v>
      </c>
      <c r="G71" s="57">
        <f>'[1]SC_Lazo 1'!G71</f>
        <v>1.8600000000000001E-3</v>
      </c>
      <c r="H71" s="57">
        <f t="shared" si="3"/>
        <v>0</v>
      </c>
      <c r="I71" s="49"/>
      <c r="J71" s="49"/>
      <c r="K71" s="49"/>
      <c r="L71" s="49"/>
      <c r="M71" s="106" t="str">
        <f>IF(C75&lt;&gt;0,3*C75," ")</f>
        <v xml:space="preserve"> </v>
      </c>
    </row>
    <row r="72" spans="1:15" ht="37.5" x14ac:dyDescent="0.25">
      <c r="A72" s="21" t="s">
        <v>72</v>
      </c>
      <c r="B72" s="210" t="s">
        <v>269</v>
      </c>
      <c r="C72" s="19"/>
      <c r="D72" s="57">
        <f>'[1]SC_Lazo 1'!D72</f>
        <v>1.8629999999999999E-3</v>
      </c>
      <c r="E72" s="57">
        <f t="shared" si="2"/>
        <v>0</v>
      </c>
      <c r="F72" s="199">
        <f t="shared" ref="F72:F75" si="19">C72</f>
        <v>0</v>
      </c>
      <c r="G72" s="57">
        <f>'[1]SC_Lazo 1'!G72</f>
        <v>1.8600000000000001E-3</v>
      </c>
      <c r="H72" s="57">
        <f t="shared" si="3"/>
        <v>0</v>
      </c>
      <c r="I72" s="49"/>
      <c r="J72" s="49"/>
      <c r="K72" s="49"/>
      <c r="L72" s="49"/>
      <c r="M72" s="106" t="str">
        <f>IF(C75&lt;&gt;0,5*C75," ")</f>
        <v xml:space="preserve"> </v>
      </c>
    </row>
    <row r="73" spans="1:15" ht="37.5" x14ac:dyDescent="0.25">
      <c r="A73" s="21" t="s">
        <v>73</v>
      </c>
      <c r="B73" s="210" t="s">
        <v>270</v>
      </c>
      <c r="C73" s="19"/>
      <c r="D73" s="57">
        <f>'[1]SC_Lazo 1'!D73</f>
        <v>1.8629999999999999E-3</v>
      </c>
      <c r="E73" s="57">
        <f t="shared" si="2"/>
        <v>0</v>
      </c>
      <c r="F73" s="199">
        <f t="shared" si="19"/>
        <v>0</v>
      </c>
      <c r="G73" s="57">
        <f>'[1]SC_Lazo 1'!G73</f>
        <v>1.8600000000000001E-3</v>
      </c>
      <c r="H73" s="57">
        <f t="shared" si="3"/>
        <v>0</v>
      </c>
      <c r="I73" s="49"/>
      <c r="J73" s="49"/>
      <c r="K73" s="49"/>
      <c r="L73" s="49"/>
      <c r="M73" s="106" t="str">
        <f>IF(C75&lt;&gt;0,9*C75," ")</f>
        <v xml:space="preserve"> </v>
      </c>
    </row>
    <row r="74" spans="1:15" ht="37.5" x14ac:dyDescent="0.25">
      <c r="A74" s="21" t="s">
        <v>74</v>
      </c>
      <c r="B74" s="210" t="s">
        <v>271</v>
      </c>
      <c r="C74" s="19"/>
      <c r="D74" s="57">
        <f>'[1]SC_Lazo 1'!D74</f>
        <v>1.8629999999999999E-3</v>
      </c>
      <c r="E74" s="57">
        <f t="shared" si="2"/>
        <v>0</v>
      </c>
      <c r="F74" s="199">
        <f t="shared" si="19"/>
        <v>0</v>
      </c>
      <c r="G74" s="57">
        <f>'[1]SC_Lazo 1'!G74</f>
        <v>1.8600000000000001E-3</v>
      </c>
      <c r="H74" s="57">
        <f t="shared" si="3"/>
        <v>0</v>
      </c>
      <c r="I74" s="49"/>
      <c r="J74" s="49"/>
      <c r="K74" s="49"/>
      <c r="L74" s="49"/>
      <c r="M74" s="106" t="str">
        <f>IF(C75&lt;&gt;0,13*C75," ")</f>
        <v xml:space="preserve"> </v>
      </c>
    </row>
    <row r="75" spans="1:15" ht="38.5" thickBot="1" x14ac:dyDescent="0.35">
      <c r="A75" s="109" t="s">
        <v>75</v>
      </c>
      <c r="B75" s="211" t="s">
        <v>267</v>
      </c>
      <c r="C75" s="110"/>
      <c r="D75" s="111">
        <f>'[1]SC_Lazo 1'!D75</f>
        <v>1.8629999999999999E-3</v>
      </c>
      <c r="E75" s="111">
        <f t="shared" si="2"/>
        <v>0</v>
      </c>
      <c r="F75" s="199">
        <f t="shared" si="19"/>
        <v>0</v>
      </c>
      <c r="G75" s="111">
        <f>'[1]SC_Lazo 1'!G75</f>
        <v>1.8600000000000001E-3</v>
      </c>
      <c r="H75" s="111">
        <f t="shared" si="3"/>
        <v>0</v>
      </c>
      <c r="I75" s="39"/>
      <c r="J75" s="39"/>
      <c r="K75" s="39"/>
      <c r="L75" s="121"/>
      <c r="M75" s="112" t="str">
        <f>IF(C75&lt;&gt;0,7*C75," ")</f>
        <v xml:space="preserve"> </v>
      </c>
    </row>
    <row r="76" spans="1:15" s="7" customFormat="1" ht="13.5" thickBot="1" x14ac:dyDescent="0.35">
      <c r="A76" s="15" t="s">
        <v>8</v>
      </c>
      <c r="B76" s="205"/>
      <c r="C76" s="62">
        <f>SUM(C15:C69)+SUM(M72:M75)</f>
        <v>0</v>
      </c>
      <c r="D76" s="16"/>
      <c r="E76" s="59">
        <f>SUM(E15:E75)</f>
        <v>0</v>
      </c>
      <c r="F76" s="61">
        <f>SUM(F15:F69)</f>
        <v>0</v>
      </c>
      <c r="G76" s="59"/>
      <c r="H76" s="59">
        <f t="shared" ref="H76:M76" si="20">SUM(H15:H75)</f>
        <v>0</v>
      </c>
      <c r="I76" s="59">
        <f t="shared" si="20"/>
        <v>0</v>
      </c>
      <c r="J76" s="62">
        <f t="shared" si="20"/>
        <v>0</v>
      </c>
      <c r="K76" s="62">
        <f t="shared" si="20"/>
        <v>0</v>
      </c>
      <c r="L76" s="62">
        <f t="shared" si="20"/>
        <v>0</v>
      </c>
      <c r="M76" s="122">
        <f t="shared" si="20"/>
        <v>0</v>
      </c>
      <c r="O76"/>
    </row>
    <row r="77" spans="1:15" s="7" customFormat="1" ht="13" x14ac:dyDescent="0.3">
      <c r="C77" s="102"/>
      <c r="D77" s="103"/>
      <c r="E77" s="104"/>
      <c r="F77" s="105"/>
      <c r="G77" s="104"/>
      <c r="H77" s="104"/>
      <c r="I77" s="104"/>
      <c r="J77" s="104"/>
      <c r="K77" s="104"/>
      <c r="L77" s="102"/>
      <c r="M77" s="102"/>
    </row>
    <row r="78" spans="1:15" ht="14.4" customHeight="1" thickBot="1" x14ac:dyDescent="0.35">
      <c r="F78" s="26"/>
      <c r="L78" s="130" t="str">
        <f>IF($M$76&gt;250,"Error: The Loop cannot contain more than 250 addresses","")</f>
        <v/>
      </c>
      <c r="O78" s="7"/>
    </row>
    <row r="79" spans="1:15" ht="14.4" customHeight="1" thickBot="1" x14ac:dyDescent="0.35">
      <c r="A79" s="15" t="s">
        <v>136</v>
      </c>
      <c r="B79" s="113"/>
      <c r="C79" s="114"/>
      <c r="D79" s="26"/>
    </row>
    <row r="80" spans="1:15" ht="14.4" customHeight="1" x14ac:dyDescent="0.3">
      <c r="A80" s="96" t="s">
        <v>137</v>
      </c>
      <c r="B80" s="120">
        <v>1.72E-2</v>
      </c>
      <c r="C80" s="117" t="s">
        <v>138</v>
      </c>
      <c r="D80" s="26"/>
    </row>
    <row r="81" spans="1:12" ht="14.4" customHeight="1" x14ac:dyDescent="0.3">
      <c r="A81" s="21" t="s">
        <v>139</v>
      </c>
      <c r="B81" s="119">
        <f>E76</f>
        <v>0</v>
      </c>
      <c r="C81" s="95" t="s">
        <v>9</v>
      </c>
      <c r="D81" s="26"/>
    </row>
    <row r="82" spans="1:12" ht="14.4" customHeight="1" x14ac:dyDescent="0.3">
      <c r="A82" s="21" t="s">
        <v>140</v>
      </c>
      <c r="B82" s="119">
        <f>H76-I76</f>
        <v>0</v>
      </c>
      <c r="C82" s="95" t="s">
        <v>9</v>
      </c>
      <c r="D82" s="26"/>
    </row>
    <row r="83" spans="1:12" ht="14.4" customHeight="1" x14ac:dyDescent="0.3">
      <c r="A83" s="21" t="s">
        <v>141</v>
      </c>
      <c r="B83" s="119">
        <f>I76</f>
        <v>0</v>
      </c>
      <c r="C83" s="95" t="s">
        <v>9</v>
      </c>
      <c r="D83" s="26"/>
    </row>
    <row r="84" spans="1:12" ht="14.4" customHeight="1" x14ac:dyDescent="0.3">
      <c r="A84" s="21" t="s">
        <v>142</v>
      </c>
      <c r="B84" s="119">
        <f>SUM(B82:B83)</f>
        <v>0</v>
      </c>
      <c r="C84" s="95" t="s">
        <v>9</v>
      </c>
      <c r="D84" s="26"/>
    </row>
    <row r="85" spans="1:12" ht="14.4" customHeight="1" thickBot="1" x14ac:dyDescent="0.35">
      <c r="A85" s="22" t="s">
        <v>143</v>
      </c>
      <c r="B85" s="107">
        <v>6.9</v>
      </c>
      <c r="C85" s="28" t="s">
        <v>144</v>
      </c>
      <c r="D85" s="26"/>
    </row>
    <row r="86" spans="1:12" ht="14.4" customHeight="1" thickBot="1" x14ac:dyDescent="0.35">
      <c r="A86" s="13"/>
      <c r="E86" s="26"/>
    </row>
    <row r="87" spans="1:12" ht="14.4" customHeight="1" thickBot="1" x14ac:dyDescent="0.35">
      <c r="A87" s="8" t="s">
        <v>154</v>
      </c>
      <c r="B87" s="127"/>
      <c r="C87" s="127"/>
      <c r="D87" s="127"/>
      <c r="E87" s="139"/>
      <c r="F87" s="127"/>
      <c r="G87" s="127"/>
      <c r="H87" s="127"/>
      <c r="I87" s="127"/>
      <c r="J87" s="127"/>
      <c r="K87" s="128"/>
      <c r="L87" s="131" t="s">
        <v>150</v>
      </c>
    </row>
    <row r="88" spans="1:12" ht="14.4" customHeight="1" x14ac:dyDescent="0.25">
      <c r="A88" s="145" t="s">
        <v>155</v>
      </c>
      <c r="B88" s="41">
        <v>1000</v>
      </c>
      <c r="C88" s="41">
        <v>1500</v>
      </c>
      <c r="D88" s="41"/>
      <c r="E88" s="41">
        <v>2000</v>
      </c>
      <c r="F88" s="41"/>
      <c r="G88" s="41"/>
      <c r="H88" s="41">
        <v>2500</v>
      </c>
      <c r="I88" s="41">
        <v>3000</v>
      </c>
      <c r="J88" s="141">
        <v>3500</v>
      </c>
      <c r="K88" s="132" t="s">
        <v>151</v>
      </c>
    </row>
    <row r="89" spans="1:12" ht="14.4" customHeight="1" x14ac:dyDescent="0.25">
      <c r="A89" s="48" t="s">
        <v>156</v>
      </c>
      <c r="B89" s="134" t="e">
        <f>((($B$80*B88)/B91)*2)</f>
        <v>#DIV/0!</v>
      </c>
      <c r="C89" s="134" t="e">
        <f t="shared" ref="C89" si="21">((($B$80*C88)/C91)*2)</f>
        <v>#DIV/0!</v>
      </c>
      <c r="D89" s="134"/>
      <c r="E89" s="134" t="e">
        <f t="shared" ref="E89" si="22">((($B$80*E88)/E91)*2)</f>
        <v>#DIV/0!</v>
      </c>
      <c r="F89" s="134" t="e">
        <f t="shared" ref="F89:J89" si="23">((($B$80*F88)/F91)*2)</f>
        <v>#DIV/0!</v>
      </c>
      <c r="G89" s="134"/>
      <c r="H89" s="134" t="e">
        <f t="shared" si="23"/>
        <v>#DIV/0!</v>
      </c>
      <c r="I89" s="134" t="e">
        <f t="shared" si="23"/>
        <v>#DIV/0!</v>
      </c>
      <c r="J89" s="134" t="e">
        <f t="shared" si="23"/>
        <v>#DIV/0!</v>
      </c>
      <c r="K89" s="133" t="s">
        <v>152</v>
      </c>
    </row>
    <row r="90" spans="1:12" ht="14.4" customHeight="1" thickBot="1" x14ac:dyDescent="0.3">
      <c r="A90" s="144" t="s">
        <v>157</v>
      </c>
      <c r="B90" s="134" t="e">
        <f>B89/2</f>
        <v>#DIV/0!</v>
      </c>
      <c r="C90" s="134" t="e">
        <f t="shared" ref="C90" si="24">C89/2</f>
        <v>#DIV/0!</v>
      </c>
      <c r="D90" s="134"/>
      <c r="E90" s="134" t="e">
        <f t="shared" ref="E90" si="25">E89/2</f>
        <v>#DIV/0!</v>
      </c>
      <c r="F90" s="134" t="e">
        <f t="shared" ref="F90" si="26">F89/2</f>
        <v>#DIV/0!</v>
      </c>
      <c r="G90" s="134"/>
      <c r="H90" s="134" t="e">
        <f>H89/2</f>
        <v>#DIV/0!</v>
      </c>
      <c r="I90" s="134" t="e">
        <f>I89/2</f>
        <v>#DIV/0!</v>
      </c>
      <c r="J90" s="134" t="e">
        <f>J89/2</f>
        <v>#DIV/0!</v>
      </c>
      <c r="K90" s="143" t="s">
        <v>152</v>
      </c>
    </row>
    <row r="91" spans="1:12" ht="14.4" customHeight="1" thickBot="1" x14ac:dyDescent="0.35">
      <c r="A91" s="15" t="s">
        <v>158</v>
      </c>
      <c r="B91" s="168" t="e">
        <f t="shared" ref="B91:J91" si="27">IF((($B$80*B$88)/(($B$85-((SUM($C$16,$C$18,$C$20,$C$22)*0.155)*$B$84))/$B$84))&lt;0.5,0.5,(($B$80*B$88)/(($B$85-((SUM($C$16,$C$18,$C$20,$C$22)*0.155)*$B$84))/$B$84)))</f>
        <v>#DIV/0!</v>
      </c>
      <c r="C91" s="168" t="e">
        <f t="shared" si="27"/>
        <v>#DIV/0!</v>
      </c>
      <c r="D91" s="168" t="e">
        <f t="shared" si="27"/>
        <v>#DIV/0!</v>
      </c>
      <c r="E91" s="168" t="e">
        <f t="shared" si="27"/>
        <v>#DIV/0!</v>
      </c>
      <c r="F91" s="168" t="e">
        <f t="shared" si="27"/>
        <v>#DIV/0!</v>
      </c>
      <c r="G91" s="168" t="e">
        <f t="shared" si="27"/>
        <v>#DIV/0!</v>
      </c>
      <c r="H91" s="168" t="e">
        <f t="shared" si="27"/>
        <v>#DIV/0!</v>
      </c>
      <c r="I91" s="168" t="e">
        <f t="shared" si="27"/>
        <v>#DIV/0!</v>
      </c>
      <c r="J91" s="168" t="e">
        <f t="shared" si="27"/>
        <v>#DIV/0!</v>
      </c>
      <c r="K91" s="94" t="s">
        <v>130</v>
      </c>
    </row>
    <row r="92" spans="1:12" ht="14.4" customHeight="1" thickBot="1" x14ac:dyDescent="0.35">
      <c r="A92" s="13"/>
      <c r="E92" s="26"/>
    </row>
    <row r="93" spans="1:12" ht="14.4" customHeight="1" thickBot="1" x14ac:dyDescent="0.35">
      <c r="A93" s="8" t="s">
        <v>159</v>
      </c>
      <c r="B93" s="127"/>
      <c r="C93" s="127"/>
      <c r="D93" s="127"/>
      <c r="E93" s="139"/>
      <c r="F93" s="127"/>
      <c r="G93" s="127"/>
      <c r="H93" s="127"/>
      <c r="I93" s="127"/>
      <c r="J93" s="127"/>
      <c r="K93" s="128"/>
      <c r="L93" s="131" t="s">
        <v>153</v>
      </c>
    </row>
    <row r="94" spans="1:12" ht="14.4" customHeight="1" x14ac:dyDescent="0.25">
      <c r="A94" s="132" t="s">
        <v>160</v>
      </c>
      <c r="B94" s="37">
        <v>0.5</v>
      </c>
      <c r="C94" s="41">
        <v>0.75</v>
      </c>
      <c r="D94" s="41"/>
      <c r="E94" s="41">
        <v>1</v>
      </c>
      <c r="F94" s="41"/>
      <c r="G94" s="41"/>
      <c r="H94" s="41">
        <v>1.5</v>
      </c>
      <c r="I94" s="41">
        <v>2.5</v>
      </c>
      <c r="J94" s="141">
        <v>4</v>
      </c>
      <c r="K94" s="132" t="s">
        <v>130</v>
      </c>
    </row>
    <row r="95" spans="1:12" ht="14.4" customHeight="1" x14ac:dyDescent="0.25">
      <c r="A95" s="140" t="s">
        <v>156</v>
      </c>
      <c r="B95" s="134" t="e">
        <f t="shared" ref="B95:J95" si="28">$B$80*B97/B94*2</f>
        <v>#DIV/0!</v>
      </c>
      <c r="C95" s="134" t="e">
        <f t="shared" ref="C95" si="29">$B$80*C97/C94*2</f>
        <v>#DIV/0!</v>
      </c>
      <c r="D95" s="134"/>
      <c r="E95" s="134" t="e">
        <f t="shared" ref="E95" si="30">$B$80*E97/E94*2</f>
        <v>#DIV/0!</v>
      </c>
      <c r="F95" s="134" t="e">
        <f t="shared" si="28"/>
        <v>#DIV/0!</v>
      </c>
      <c r="G95" s="134"/>
      <c r="H95" s="134" t="e">
        <f t="shared" si="28"/>
        <v>#DIV/0!</v>
      </c>
      <c r="I95" s="134" t="e">
        <f t="shared" si="28"/>
        <v>#DIV/0!</v>
      </c>
      <c r="J95" s="134" t="e">
        <f t="shared" si="28"/>
        <v>#DIV/0!</v>
      </c>
      <c r="K95" s="133" t="s">
        <v>152</v>
      </c>
    </row>
    <row r="96" spans="1:12" ht="14.4" customHeight="1" thickBot="1" x14ac:dyDescent="0.3">
      <c r="A96" s="142" t="s">
        <v>157</v>
      </c>
      <c r="B96" s="134" t="e">
        <f>B95/2</f>
        <v>#DIV/0!</v>
      </c>
      <c r="C96" s="134" t="e">
        <f t="shared" ref="C96" si="31">C95/2</f>
        <v>#DIV/0!</v>
      </c>
      <c r="D96" s="134"/>
      <c r="E96" s="134" t="e">
        <f t="shared" ref="E96" si="32">E95/2</f>
        <v>#DIV/0!</v>
      </c>
      <c r="F96" s="134" t="e">
        <f t="shared" ref="F96" si="33">F95/2</f>
        <v>#DIV/0!</v>
      </c>
      <c r="G96" s="134"/>
      <c r="H96" s="134" t="e">
        <f>H95/2</f>
        <v>#DIV/0!</v>
      </c>
      <c r="I96" s="134" t="e">
        <f>I95/2</f>
        <v>#DIV/0!</v>
      </c>
      <c r="J96" s="134" t="e">
        <f>J95/2</f>
        <v>#DIV/0!</v>
      </c>
      <c r="K96" s="143" t="s">
        <v>152</v>
      </c>
    </row>
    <row r="97" spans="1:13" ht="14.4" customHeight="1" thickBot="1" x14ac:dyDescent="0.35">
      <c r="A97" s="94" t="s">
        <v>161</v>
      </c>
      <c r="B97" s="168" t="e">
        <f t="shared" ref="B97:J97" si="34">IF((((($B$85-((SUM($C$16,$C$18,$C$20,$C$22)*0.155)*$B$84))/$B$84)*B$94)/$B$80)&gt;3500,3500,(((($B$85-((SUM($C$16,$C$18,$C$20,$C$22)*0.155)*$B$84))/$B$84)*B$94)/$B$80))</f>
        <v>#DIV/0!</v>
      </c>
      <c r="C97" s="168" t="e">
        <f t="shared" si="34"/>
        <v>#DIV/0!</v>
      </c>
      <c r="D97" s="168" t="e">
        <f t="shared" si="34"/>
        <v>#DIV/0!</v>
      </c>
      <c r="E97" s="168" t="e">
        <f t="shared" si="34"/>
        <v>#DIV/0!</v>
      </c>
      <c r="F97" s="168" t="e">
        <f t="shared" si="34"/>
        <v>#DIV/0!</v>
      </c>
      <c r="G97" s="168" t="e">
        <f t="shared" si="34"/>
        <v>#DIV/0!</v>
      </c>
      <c r="H97" s="168" t="e">
        <f t="shared" si="34"/>
        <v>#DIV/0!</v>
      </c>
      <c r="I97" s="168" t="e">
        <f t="shared" si="34"/>
        <v>#DIV/0!</v>
      </c>
      <c r="J97" s="168" t="e">
        <f t="shared" si="34"/>
        <v>#DIV/0!</v>
      </c>
      <c r="K97" s="94" t="s">
        <v>151</v>
      </c>
    </row>
    <row r="98" spans="1:13" ht="14.4" customHeight="1" thickBot="1" x14ac:dyDescent="0.35">
      <c r="A98" s="13"/>
      <c r="E98" s="26"/>
    </row>
    <row r="99" spans="1:13" ht="14.4" customHeight="1" thickBot="1" x14ac:dyDescent="0.35">
      <c r="A99" s="8" t="s">
        <v>162</v>
      </c>
      <c r="B99" s="127"/>
      <c r="C99" s="128"/>
      <c r="D99" s="26"/>
    </row>
    <row r="100" spans="1:13" ht="14.4" customHeight="1" x14ac:dyDescent="0.3">
      <c r="A100" s="96" t="s">
        <v>163</v>
      </c>
      <c r="B100" s="41">
        <f>$B$8</f>
        <v>1.5</v>
      </c>
      <c r="C100" s="98" t="s">
        <v>130</v>
      </c>
      <c r="D100" s="26"/>
      <c r="G100" s="130" t="str">
        <f>IF(B100&lt;0.5,"Error: The Minimum Cable Seccion in the Loop is 0,5 mm2","")</f>
        <v/>
      </c>
    </row>
    <row r="101" spans="1:13" ht="14.4" customHeight="1" x14ac:dyDescent="0.3">
      <c r="A101" s="21" t="s">
        <v>164</v>
      </c>
      <c r="B101" s="49">
        <f>$B$9</f>
        <v>1000</v>
      </c>
      <c r="C101" s="95" t="s">
        <v>130</v>
      </c>
      <c r="D101" s="26"/>
      <c r="G101" s="130" t="str">
        <f>IF(B101&gt;3500,"Error: The Maximum Lenght in the Line is 3500 meters","")</f>
        <v/>
      </c>
    </row>
    <row r="102" spans="1:13" ht="14.4" customHeight="1" x14ac:dyDescent="0.3">
      <c r="A102" s="21" t="s">
        <v>165</v>
      </c>
      <c r="B102" s="136">
        <f>((($B$80*B101)/B100)*2)+(SUM(C16,C18,C20,C22,)*0.155)</f>
        <v>22.933333333333334</v>
      </c>
      <c r="C102" s="106" t="s">
        <v>152</v>
      </c>
      <c r="D102" s="26"/>
    </row>
    <row r="103" spans="1:13" ht="14.4" customHeight="1" thickBot="1" x14ac:dyDescent="0.35">
      <c r="A103" s="22" t="s">
        <v>166</v>
      </c>
      <c r="B103" s="135">
        <f>B102/2</f>
        <v>11.466666666666667</v>
      </c>
      <c r="C103" s="108" t="s">
        <v>152</v>
      </c>
      <c r="D103" s="26"/>
    </row>
    <row r="104" spans="1:13" ht="14.4" customHeight="1" thickBot="1" x14ac:dyDescent="0.35">
      <c r="A104" s="146" t="s">
        <v>167</v>
      </c>
      <c r="B104" s="147">
        <f>$B$85/$B$103</f>
        <v>0.6017441860465117</v>
      </c>
      <c r="C104" s="147" t="s">
        <v>9</v>
      </c>
      <c r="D104" s="26"/>
    </row>
    <row r="105" spans="1:13" ht="14.4" customHeight="1" thickBot="1" x14ac:dyDescent="0.35">
      <c r="A105" s="8" t="s">
        <v>133</v>
      </c>
      <c r="B105" s="127"/>
      <c r="C105" s="128"/>
      <c r="D105" s="26"/>
    </row>
    <row r="106" spans="1:13" ht="14.4" customHeight="1" thickBot="1" x14ac:dyDescent="0.35">
      <c r="A106" s="8" t="s">
        <v>134</v>
      </c>
      <c r="B106" s="128"/>
      <c r="C106" s="138" t="str">
        <f>IF($B$84&gt;0.4,"FAIL",IF($B$104&gt;=$B$84,"OK","FAIL"))</f>
        <v>OK</v>
      </c>
      <c r="D106" s="26"/>
      <c r="G106" s="130" t="str">
        <f>IF($B$84&gt;0.4,"Error: The Loop Current is upper that Maximum Current allowed",IF($B$104&lt;$B$84,"Error: The Loop Current is upper that Maximum Current allowed",""))</f>
        <v/>
      </c>
    </row>
    <row r="107" spans="1:13" ht="14.4" customHeight="1" thickBot="1" x14ac:dyDescent="0.35">
      <c r="A107" s="8" t="s">
        <v>135</v>
      </c>
      <c r="B107" s="128"/>
      <c r="C107" s="137" t="str">
        <f>IF($M$76&lt;=250,"OK","FAIL")</f>
        <v>OK</v>
      </c>
      <c r="D107" s="26"/>
      <c r="G107" s="130" t="str">
        <f>IF($M$76&gt;250,"Error: The Loop cannot contain more than 250 addresses","")</f>
        <v/>
      </c>
    </row>
    <row r="108" spans="1:13" ht="14.4" customHeight="1" x14ac:dyDescent="0.3">
      <c r="A108" s="13"/>
      <c r="B108" s="13"/>
      <c r="F108" s="26"/>
    </row>
    <row r="110" spans="1:13" ht="27" customHeight="1" x14ac:dyDescent="0.25">
      <c r="A110" s="225" t="s">
        <v>13</v>
      </c>
      <c r="B110" s="225"/>
      <c r="C110" s="225"/>
      <c r="D110" s="225"/>
      <c r="E110" s="225"/>
      <c r="F110" s="225"/>
      <c r="G110" s="225"/>
      <c r="H110" s="225"/>
      <c r="I110" s="225"/>
      <c r="J110" s="225"/>
      <c r="K110" s="225"/>
      <c r="L110" s="225"/>
      <c r="M110" s="225"/>
    </row>
  </sheetData>
  <sheetProtection algorithmName="SHA-512" hashValue="gcgOV1hgOsDXew7k5Esz4EDwhSs6D7hMuj04pHMvXHx8yUonIfqT9+Ev3rVqomep72Y6dBgwYnx+fQr0I6+L7A==" saltValue="hisvealsTGa/vNZCoYkeWQ==" spinCount="100000" sheet="1" sort="0" autoFilter="0" pivotTables="0"/>
  <mergeCells count="5">
    <mergeCell ref="A110:M110"/>
    <mergeCell ref="K8:L8"/>
    <mergeCell ref="K9:L9"/>
    <mergeCell ref="K7:L7"/>
    <mergeCell ref="H8:J9"/>
  </mergeCells>
  <phoneticPr fontId="18" type="noConversion"/>
  <conditionalFormatting sqref="B89:J90">
    <cfRule type="containsErrors" dxfId="135" priority="55">
      <formula>ISERROR(B89)</formula>
    </cfRule>
  </conditionalFormatting>
  <conditionalFormatting sqref="B91:J91">
    <cfRule type="containsErrors" dxfId="134" priority="47">
      <formula>ISERROR(B91)</formula>
    </cfRule>
  </conditionalFormatting>
  <conditionalFormatting sqref="B95:J96">
    <cfRule type="containsErrors" dxfId="133" priority="54">
      <formula>ISERROR(B95)</formula>
    </cfRule>
  </conditionalFormatting>
  <conditionalFormatting sqref="B97:J97">
    <cfRule type="containsErrors" dxfId="132" priority="45">
      <formula>ISERROR(B97)</formula>
    </cfRule>
  </conditionalFormatting>
  <conditionalFormatting sqref="C106:C107">
    <cfRule type="cellIs" dxfId="131" priority="58" stopIfTrue="1" operator="equal">
      <formula>"FAIL"</formula>
    </cfRule>
  </conditionalFormatting>
  <conditionalFormatting sqref="K15:K75">
    <cfRule type="cellIs" dxfId="130" priority="1" operator="equal">
      <formula>0</formula>
    </cfRule>
  </conditionalFormatting>
  <conditionalFormatting sqref="M8:M9">
    <cfRule type="cellIs" dxfId="129" priority="56" stopIfTrue="1" operator="equal">
      <formula>"FAIL"</formula>
    </cfRule>
  </conditionalFormatting>
  <conditionalFormatting sqref="O34:O35 O56 O58 O60 O62 O64:O65">
    <cfRule type="expression" dxfId="128" priority="7" stopIfTrue="1">
      <formula>$B$38&gt;2</formula>
    </cfRule>
    <cfRule type="expression" dxfId="127" priority="8" stopIfTrue="1">
      <formula>$B$38&lt;3</formula>
    </cfRule>
  </conditionalFormatting>
  <conditionalFormatting sqref="O35:O36">
    <cfRule type="expression" dxfId="126" priority="13" stopIfTrue="1">
      <formula>$B$37&gt;4</formula>
    </cfRule>
    <cfRule type="expression" dxfId="125" priority="14" stopIfTrue="1">
      <formula>$B$37&lt;5</formula>
    </cfRule>
  </conditionalFormatting>
  <conditionalFormatting sqref="O37:O43">
    <cfRule type="expression" dxfId="124" priority="9" stopIfTrue="1">
      <formula>$B$38&gt;2</formula>
    </cfRule>
    <cfRule type="expression" dxfId="123" priority="10" stopIfTrue="1">
      <formula>$B$38&lt;3</formula>
    </cfRule>
  </conditionalFormatting>
  <conditionalFormatting sqref="O54">
    <cfRule type="expression" dxfId="122" priority="5" stopIfTrue="1">
      <formula>$B$38&gt;2</formula>
    </cfRule>
    <cfRule type="expression" dxfId="121" priority="6" stopIfTrue="1">
      <formula>$B$38&lt;3</formula>
    </cfRule>
  </conditionalFormatting>
  <conditionalFormatting sqref="O68">
    <cfRule type="expression" dxfId="120" priority="11" stopIfTrue="1">
      <formula>$B$37&gt;4</formula>
    </cfRule>
    <cfRule type="expression" dxfId="119" priority="12" stopIfTrue="1">
      <formula>$B$37&lt;5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5D55514-F2E8-420D-BDEE-D22B74E77BF5}">
          <x14:formula1>
            <xm:f>Datos!$F$16:$F$21</xm:f>
          </x14:formula1>
          <xm:sqref>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78193-8210-4CBE-B2DD-B4CF64184E8E}">
  <sheetPr codeName="Hoja4">
    <pageSetUpPr fitToPage="1"/>
  </sheetPr>
  <dimension ref="A1:O110"/>
  <sheetViews>
    <sheetView zoomScaleNormal="100" workbookViewId="0">
      <pane ySplit="14" topLeftCell="A15" activePane="bottomLeft" state="frozen"/>
      <selection pane="bottomLeft" activeCell="C15" sqref="C15"/>
    </sheetView>
  </sheetViews>
  <sheetFormatPr baseColWidth="10" defaultRowHeight="12.5" x14ac:dyDescent="0.25"/>
  <cols>
    <col min="1" max="1" width="31.1796875" customWidth="1"/>
    <col min="2" max="2" width="18.90625" customWidth="1"/>
    <col min="3" max="3" width="10.6328125" customWidth="1"/>
    <col min="4" max="4" width="11.08984375" hidden="1" customWidth="1"/>
    <col min="5" max="5" width="12.81640625" bestFit="1" customWidth="1"/>
    <col min="6" max="7" width="10.6328125" hidden="1" customWidth="1"/>
    <col min="8" max="8" width="10.54296875" bestFit="1" customWidth="1"/>
    <col min="9" max="9" width="10.6328125" customWidth="1"/>
    <col min="10" max="10" width="5.54296875" bestFit="1" customWidth="1"/>
    <col min="11" max="11" width="7" customWidth="1"/>
    <col min="12" max="12" width="6.453125" customWidth="1"/>
    <col min="13" max="13" width="6.54296875" customWidth="1"/>
    <col min="15" max="17" width="11.54296875" customWidth="1"/>
  </cols>
  <sheetData>
    <row r="1" spans="1:15" x14ac:dyDescent="0.25">
      <c r="I1" s="1"/>
      <c r="J1" s="2"/>
      <c r="K1" s="2"/>
      <c r="L1" s="2"/>
    </row>
    <row r="2" spans="1:15" x14ac:dyDescent="0.25">
      <c r="I2" s="1"/>
      <c r="J2" s="2"/>
      <c r="K2" s="2"/>
      <c r="L2" s="2"/>
    </row>
    <row r="3" spans="1:15" ht="14.5" x14ac:dyDescent="0.35">
      <c r="A3" s="3"/>
      <c r="B3" s="3"/>
      <c r="I3" s="1"/>
      <c r="J3" s="2"/>
      <c r="K3" s="2"/>
      <c r="L3" s="2"/>
    </row>
    <row r="4" spans="1:15" ht="14.5" x14ac:dyDescent="0.35">
      <c r="A4" s="3"/>
      <c r="B4" s="3"/>
      <c r="I4" s="1"/>
      <c r="J4" s="2"/>
      <c r="K4" s="2"/>
      <c r="L4" s="2"/>
    </row>
    <row r="5" spans="1:15" s="7" customFormat="1" ht="13.5" thickBot="1" x14ac:dyDescent="0.35">
      <c r="A5" s="4" t="str">
        <f>'System Calculation'!A7</f>
        <v>SYSTEM CALCULATOR DETNOV CAD-150 EXCEL TOOL</v>
      </c>
      <c r="B5" s="4"/>
      <c r="C5" s="4"/>
      <c r="D5" s="4"/>
      <c r="E5" s="4"/>
      <c r="F5" s="4"/>
      <c r="G5" s="4"/>
      <c r="H5" s="4"/>
      <c r="I5" s="6"/>
      <c r="J5" s="5"/>
      <c r="K5" s="5"/>
      <c r="L5" s="5"/>
      <c r="M5" s="12" t="str">
        <f>'System Calculation'!J7</f>
        <v>SC 116 en 2019 i</v>
      </c>
    </row>
    <row r="6" spans="1:15" s="7" customFormat="1" ht="13.5" thickBot="1" x14ac:dyDescent="0.35">
      <c r="I6" s="29"/>
      <c r="J6" s="30"/>
      <c r="K6" s="30"/>
      <c r="L6" s="30"/>
      <c r="M6" s="31"/>
    </row>
    <row r="7" spans="1:15" s="7" customFormat="1" ht="13.5" thickBot="1" x14ac:dyDescent="0.35">
      <c r="A7" s="15" t="s">
        <v>62</v>
      </c>
      <c r="B7" s="99"/>
      <c r="C7" s="100"/>
      <c r="I7" s="29"/>
      <c r="K7" s="226" t="s">
        <v>133</v>
      </c>
      <c r="L7" s="230"/>
      <c r="M7" s="118"/>
      <c r="N7" s="31"/>
    </row>
    <row r="8" spans="1:15" s="7" customFormat="1" ht="13.5" thickBot="1" x14ac:dyDescent="0.35">
      <c r="A8" s="96" t="s">
        <v>128</v>
      </c>
      <c r="B8" s="203">
        <v>1.5</v>
      </c>
      <c r="C8" s="222">
        <f>VLOOKUP($B$8,Datos!$F$16:$G$21,2,FALSE)</f>
        <v>16</v>
      </c>
      <c r="D8" s="207"/>
      <c r="E8" s="207"/>
      <c r="F8" s="204"/>
      <c r="G8" s="13"/>
      <c r="H8" s="231" t="str">
        <f>IF(B9&gt;3500,"Error: The Maximum Lenght in the Line is 3500 m","")</f>
        <v/>
      </c>
      <c r="I8" s="231"/>
      <c r="J8" s="232"/>
      <c r="K8" s="226" t="s">
        <v>134</v>
      </c>
      <c r="L8" s="227"/>
      <c r="M8" s="138" t="str">
        <f>IF($B$84&gt;0.4,"FAIL",IF($B$104&gt;=$B$84,"OK","FAIL"))</f>
        <v>OK</v>
      </c>
      <c r="O8" s="130" t="str">
        <f>IF($B$84&gt;0.4,"Error: The Loop Current is upper that Maximum Current allowed",IF($B$104&lt;$B$84,"Error: The Loop Current is upper that Maximum Current allowed",""))</f>
        <v/>
      </c>
    </row>
    <row r="9" spans="1:15" s="7" customFormat="1" ht="13.5" thickBot="1" x14ac:dyDescent="0.35">
      <c r="A9" s="22" t="s">
        <v>129</v>
      </c>
      <c r="B9" s="101">
        <v>1000</v>
      </c>
      <c r="C9" s="28" t="s">
        <v>131</v>
      </c>
      <c r="D9" s="13"/>
      <c r="E9" s="13"/>
      <c r="F9" s="13"/>
      <c r="G9" s="13"/>
      <c r="H9" s="231"/>
      <c r="I9" s="231"/>
      <c r="J9" s="232"/>
      <c r="K9" s="228" t="s">
        <v>135</v>
      </c>
      <c r="L9" s="229"/>
      <c r="M9" s="137" t="str">
        <f>IF($M$76&lt;=250,"OK","FAIL")</f>
        <v>OK</v>
      </c>
      <c r="O9" s="130" t="str">
        <f>IF($M$76&gt;250,"Error: The Loop cannot contain more than 250 addresses","")</f>
        <v/>
      </c>
    </row>
    <row r="10" spans="1:15" s="7" customFormat="1" ht="13" x14ac:dyDescent="0.3">
      <c r="A10" s="129" t="s">
        <v>149</v>
      </c>
      <c r="B10" s="129"/>
      <c r="I10" s="29"/>
      <c r="J10" s="30"/>
      <c r="K10" s="30"/>
      <c r="L10" s="30"/>
      <c r="M10" s="31"/>
    </row>
    <row r="11" spans="1:15" s="7" customFormat="1" ht="13" x14ac:dyDescent="0.3">
      <c r="A11" s="129"/>
      <c r="B11" s="129"/>
      <c r="I11" s="29"/>
      <c r="J11" s="30"/>
      <c r="K11" s="30"/>
      <c r="L11" s="30"/>
      <c r="M11" s="31"/>
    </row>
    <row r="12" spans="1:15" ht="13.5" thickBot="1" x14ac:dyDescent="0.35">
      <c r="C12" s="11" t="s">
        <v>10</v>
      </c>
      <c r="D12" s="11" t="s">
        <v>10</v>
      </c>
    </row>
    <row r="13" spans="1:15" ht="13.5" thickBot="1" x14ac:dyDescent="0.35">
      <c r="A13" s="8" t="s">
        <v>172</v>
      </c>
      <c r="B13" s="9"/>
      <c r="C13" s="9"/>
      <c r="D13" s="9"/>
      <c r="E13" s="9"/>
      <c r="F13" s="9"/>
      <c r="G13" s="9"/>
      <c r="H13" s="9"/>
      <c r="I13" s="127"/>
      <c r="J13" s="127"/>
      <c r="K13" s="127"/>
      <c r="L13" s="127"/>
      <c r="M13" s="128"/>
    </row>
    <row r="14" spans="1:15" s="7" customFormat="1" ht="13.5" thickBot="1" x14ac:dyDescent="0.35">
      <c r="A14" s="215" t="s">
        <v>0</v>
      </c>
      <c r="B14" s="216" t="s">
        <v>223</v>
      </c>
      <c r="C14" s="217" t="s">
        <v>1</v>
      </c>
      <c r="D14" s="217" t="s">
        <v>38</v>
      </c>
      <c r="E14" s="217" t="s">
        <v>38</v>
      </c>
      <c r="F14" s="217" t="s">
        <v>109</v>
      </c>
      <c r="G14" s="217" t="s">
        <v>39</v>
      </c>
      <c r="H14" s="217" t="s">
        <v>39</v>
      </c>
      <c r="I14" s="99" t="s">
        <v>132</v>
      </c>
      <c r="J14" s="99" t="s">
        <v>145</v>
      </c>
      <c r="K14" s="99" t="s">
        <v>146</v>
      </c>
      <c r="L14" s="99" t="s">
        <v>147</v>
      </c>
      <c r="M14" s="100" t="s">
        <v>148</v>
      </c>
    </row>
    <row r="15" spans="1:15" ht="25" x14ac:dyDescent="0.25">
      <c r="A15" s="115" t="str">
        <f>'SC_Loop 1'!A15</f>
        <v>DOD-220A</v>
      </c>
      <c r="B15" s="208" t="str">
        <f>'SC_Loop 1'!B15</f>
        <v>Addressable smoke detector</v>
      </c>
      <c r="C15" s="97"/>
      <c r="D15" s="214">
        <f>'SC_Loop 1'!D15</f>
        <v>1.272E-4</v>
      </c>
      <c r="E15" s="116">
        <f>C15*D15</f>
        <v>0</v>
      </c>
      <c r="F15" s="200">
        <f>IF(C15&gt;10,10,C15)</f>
        <v>0</v>
      </c>
      <c r="G15" s="214">
        <f>'SC_Loop 1'!G15</f>
        <v>3.6099999999999999E-3</v>
      </c>
      <c r="H15" s="116">
        <f>F15*G15</f>
        <v>0</v>
      </c>
      <c r="I15" s="41"/>
      <c r="J15" s="41" t="str">
        <f t="shared" ref="J15:J27" si="0">IF(C15&lt;&gt;0,C15," ")</f>
        <v xml:space="preserve"> </v>
      </c>
      <c r="K15" s="41"/>
      <c r="L15" s="41"/>
      <c r="M15" s="117" t="str">
        <f>IF(J15&lt;&gt;0,J15," ")</f>
        <v xml:space="preserve"> </v>
      </c>
    </row>
    <row r="16" spans="1:15" ht="25" x14ac:dyDescent="0.25">
      <c r="A16" s="115" t="str">
        <f>'SC_Loop 1'!A16</f>
        <v>DOD-220A-I</v>
      </c>
      <c r="B16" s="208" t="str">
        <f>'SC_Loop 1'!B16</f>
        <v>Addressable smoke detector with isolator</v>
      </c>
      <c r="C16" s="97"/>
      <c r="D16" s="20">
        <f>'SC_Loop 1'!D16</f>
        <v>1.9580000000000002E-4</v>
      </c>
      <c r="E16" s="57">
        <f>C16*D16</f>
        <v>0</v>
      </c>
      <c r="F16" s="200">
        <f t="shared" ref="F16:F22" si="1">IF(C16&gt;10,10,C16)</f>
        <v>0</v>
      </c>
      <c r="G16" s="20">
        <f>'SC_Loop 1'!G16</f>
        <v>3.7400000000000003E-3</v>
      </c>
      <c r="H16" s="57">
        <f>F16*G16</f>
        <v>0</v>
      </c>
      <c r="I16" s="49"/>
      <c r="J16" s="49" t="str">
        <f t="shared" si="0"/>
        <v xml:space="preserve"> </v>
      </c>
      <c r="K16" s="49"/>
      <c r="L16" s="49"/>
      <c r="M16" s="106" t="str">
        <f>IF(J16&lt;&gt;0,J16," ")</f>
        <v xml:space="preserve"> </v>
      </c>
    </row>
    <row r="17" spans="1:13" ht="25" x14ac:dyDescent="0.25">
      <c r="A17" s="115" t="str">
        <f>'SC_Loop 1'!A17</f>
        <v>DOTD-230A</v>
      </c>
      <c r="B17" s="208" t="str">
        <f>'SC_Loop 1'!B17</f>
        <v>Addressable smoke and heat detector</v>
      </c>
      <c r="C17" s="97"/>
      <c r="D17" s="20">
        <f>'SC_Loop 1'!D17</f>
        <v>1.416E-4</v>
      </c>
      <c r="E17" s="57">
        <f t="shared" ref="E17:E75" si="2">C17*D17</f>
        <v>0</v>
      </c>
      <c r="F17" s="200">
        <f t="shared" si="1"/>
        <v>0</v>
      </c>
      <c r="G17" s="20">
        <f>'SC_Loop 1'!G17</f>
        <v>3.6000000000000003E-3</v>
      </c>
      <c r="H17" s="57">
        <f t="shared" ref="H17:H75" si="3">F17*G17</f>
        <v>0</v>
      </c>
      <c r="I17" s="49"/>
      <c r="J17" s="49" t="str">
        <f t="shared" si="0"/>
        <v xml:space="preserve"> </v>
      </c>
      <c r="K17" s="49"/>
      <c r="L17" s="49"/>
      <c r="M17" s="106" t="str">
        <f t="shared" ref="M17:M70" si="4">IF(J17&lt;&gt;0,J17," ")</f>
        <v xml:space="preserve"> </v>
      </c>
    </row>
    <row r="18" spans="1:13" ht="37.5" x14ac:dyDescent="0.25">
      <c r="A18" s="115" t="str">
        <f>'SC_Loop 1'!A18</f>
        <v>DOTD-230A-I</v>
      </c>
      <c r="B18" s="208" t="str">
        <f>'SC_Loop 1'!B18</f>
        <v>Addressable smoke and heat detector with isolator</v>
      </c>
      <c r="C18" s="97"/>
      <c r="D18" s="20">
        <f>'SC_Loop 1'!D18</f>
        <v>2.1239999999999999E-4</v>
      </c>
      <c r="E18" s="57">
        <f t="shared" si="2"/>
        <v>0</v>
      </c>
      <c r="F18" s="200">
        <f t="shared" si="1"/>
        <v>0</v>
      </c>
      <c r="G18" s="20">
        <f>'SC_Loop 1'!G18</f>
        <v>3.7400000000000003E-3</v>
      </c>
      <c r="H18" s="57">
        <f t="shared" si="3"/>
        <v>0</v>
      </c>
      <c r="I18" s="49"/>
      <c r="J18" s="49" t="str">
        <f t="shared" si="0"/>
        <v xml:space="preserve"> </v>
      </c>
      <c r="K18" s="49"/>
      <c r="L18" s="49"/>
      <c r="M18" s="106" t="str">
        <f t="shared" si="4"/>
        <v xml:space="preserve"> </v>
      </c>
    </row>
    <row r="19" spans="1:13" ht="25" x14ac:dyDescent="0.25">
      <c r="A19" s="115" t="str">
        <f>'SC_Loop 1'!A19</f>
        <v>DTD-210A</v>
      </c>
      <c r="B19" s="208" t="str">
        <f>'SC_Loop 1'!B19</f>
        <v>Addressable heat detector</v>
      </c>
      <c r="C19" s="97"/>
      <c r="D19" s="20">
        <f>'SC_Loop 1'!D19</f>
        <v>1.2219999999999999E-4</v>
      </c>
      <c r="E19" s="57">
        <f t="shared" si="2"/>
        <v>0</v>
      </c>
      <c r="F19" s="200">
        <f t="shared" si="1"/>
        <v>0</v>
      </c>
      <c r="G19" s="20">
        <f>'SC_Loop 1'!G19</f>
        <v>3.64E-3</v>
      </c>
      <c r="H19" s="57">
        <f t="shared" si="3"/>
        <v>0</v>
      </c>
      <c r="I19" s="49"/>
      <c r="J19" s="49" t="str">
        <f t="shared" si="0"/>
        <v xml:space="preserve"> </v>
      </c>
      <c r="K19" s="49"/>
      <c r="L19" s="49"/>
      <c r="M19" s="106" t="str">
        <f t="shared" si="4"/>
        <v xml:space="preserve"> </v>
      </c>
    </row>
    <row r="20" spans="1:13" ht="25" x14ac:dyDescent="0.25">
      <c r="A20" s="115" t="str">
        <f>'SC_Loop 1'!A20</f>
        <v>DTD-210A-I</v>
      </c>
      <c r="B20" s="208" t="str">
        <f>'SC_Loop 1'!B20</f>
        <v>Addressable heat detector with isolator</v>
      </c>
      <c r="C20" s="97"/>
      <c r="D20" s="20">
        <f>'SC_Loop 1'!D20</f>
        <v>1.9239999999999999E-4</v>
      </c>
      <c r="E20" s="57">
        <f t="shared" si="2"/>
        <v>0</v>
      </c>
      <c r="F20" s="200">
        <f t="shared" si="1"/>
        <v>0</v>
      </c>
      <c r="G20" s="20">
        <f>'SC_Loop 1'!G20</f>
        <v>3.7599999999999999E-3</v>
      </c>
      <c r="H20" s="57">
        <f t="shared" si="3"/>
        <v>0</v>
      </c>
      <c r="I20" s="49"/>
      <c r="J20" s="49" t="str">
        <f t="shared" si="0"/>
        <v xml:space="preserve"> </v>
      </c>
      <c r="K20" s="49"/>
      <c r="L20" s="49"/>
      <c r="M20" s="106" t="str">
        <f t="shared" si="4"/>
        <v xml:space="preserve"> </v>
      </c>
    </row>
    <row r="21" spans="1:13" ht="25" x14ac:dyDescent="0.25">
      <c r="A21" s="115" t="str">
        <f>'SC_Loop 1'!A21</f>
        <v>DTD-215A</v>
      </c>
      <c r="B21" s="208" t="str">
        <f>'SC_Loop 1'!B21</f>
        <v>Addressable high temperature detector</v>
      </c>
      <c r="C21" s="97"/>
      <c r="D21" s="20">
        <f>'SC_Loop 1'!D21</f>
        <v>1.3369999999999997E-4</v>
      </c>
      <c r="E21" s="57">
        <f t="shared" si="2"/>
        <v>0</v>
      </c>
      <c r="F21" s="200">
        <f t="shared" si="1"/>
        <v>0</v>
      </c>
      <c r="G21" s="20">
        <f>'SC_Loop 1'!G21</f>
        <v>3.7799999999999999E-3</v>
      </c>
      <c r="H21" s="57">
        <f t="shared" si="3"/>
        <v>0</v>
      </c>
      <c r="I21" s="49"/>
      <c r="J21" s="49" t="str">
        <f t="shared" si="0"/>
        <v xml:space="preserve"> </v>
      </c>
      <c r="K21" s="49"/>
      <c r="L21" s="49"/>
      <c r="M21" s="106" t="str">
        <f t="shared" si="4"/>
        <v xml:space="preserve"> </v>
      </c>
    </row>
    <row r="22" spans="1:13" ht="37.5" x14ac:dyDescent="0.25">
      <c r="A22" s="115" t="str">
        <f>'SC_Loop 1'!A22</f>
        <v>DTD-215A-I</v>
      </c>
      <c r="B22" s="208" t="str">
        <f>'SC_Loop 1'!B22</f>
        <v>Addressable high temperature detector with isolator</v>
      </c>
      <c r="C22" s="97"/>
      <c r="D22" s="20">
        <f>'SC_Loop 1'!D22</f>
        <v>2.0349999999999999E-4</v>
      </c>
      <c r="E22" s="57">
        <f t="shared" si="2"/>
        <v>0</v>
      </c>
      <c r="F22" s="200">
        <f t="shared" si="1"/>
        <v>0</v>
      </c>
      <c r="G22" s="20">
        <f>'SC_Loop 1'!G22</f>
        <v>3.7699999999999999E-3</v>
      </c>
      <c r="H22" s="57">
        <f t="shared" si="3"/>
        <v>0</v>
      </c>
      <c r="I22" s="49"/>
      <c r="J22" s="49" t="str">
        <f t="shared" si="0"/>
        <v xml:space="preserve"> </v>
      </c>
      <c r="K22" s="49"/>
      <c r="L22" s="49"/>
      <c r="M22" s="106" t="str">
        <f t="shared" si="4"/>
        <v xml:space="preserve"> </v>
      </c>
    </row>
    <row r="23" spans="1:13" ht="25" x14ac:dyDescent="0.25">
      <c r="A23" s="115" t="str">
        <f>'SC_Loop 1'!A23</f>
        <v>DGD-600</v>
      </c>
      <c r="B23" s="208" t="str">
        <f>'SC_Loop 1'!B23</f>
        <v>Stand-alone natural gas detector (24V)</v>
      </c>
      <c r="C23" s="97"/>
      <c r="D23" s="20">
        <f>'SC_Loop 1'!D23</f>
        <v>2.1800000000000001E-3</v>
      </c>
      <c r="E23" s="57">
        <f t="shared" si="2"/>
        <v>0</v>
      </c>
      <c r="F23" s="200">
        <f>IF(C23&gt;10,10,C23)</f>
        <v>0</v>
      </c>
      <c r="G23" s="20">
        <f>'SC_Loop 1'!G23</f>
        <v>2.2200000000000002E-3</v>
      </c>
      <c r="H23" s="57">
        <f t="shared" si="3"/>
        <v>0</v>
      </c>
      <c r="I23" s="49"/>
      <c r="J23" s="49" t="str">
        <f t="shared" si="0"/>
        <v xml:space="preserve"> </v>
      </c>
      <c r="K23" s="49"/>
      <c r="L23" s="49"/>
      <c r="M23" s="106" t="str">
        <f t="shared" si="4"/>
        <v xml:space="preserve"> </v>
      </c>
    </row>
    <row r="24" spans="1:13" ht="25" x14ac:dyDescent="0.25">
      <c r="A24" s="115" t="str">
        <f>'SC_Loop 1'!A24</f>
        <v>DGD-600-AC</v>
      </c>
      <c r="B24" s="208" t="str">
        <f>'SC_Loop 1'!B24</f>
        <v>Stand-alone natural gas detector (230V)</v>
      </c>
      <c r="C24" s="97"/>
      <c r="D24" s="20">
        <f>'SC_Loop 1'!D24</f>
        <v>2.5999999999999999E-3</v>
      </c>
      <c r="E24" s="57">
        <f t="shared" si="2"/>
        <v>0</v>
      </c>
      <c r="F24" s="200">
        <f t="shared" ref="F24:F26" si="5">IF(C24&gt;10,10,C24)</f>
        <v>0</v>
      </c>
      <c r="G24" s="20">
        <f>'SC_Loop 1'!G24</f>
        <v>3.16E-3</v>
      </c>
      <c r="H24" s="57">
        <f t="shared" si="3"/>
        <v>0</v>
      </c>
      <c r="I24" s="49"/>
      <c r="J24" s="49" t="str">
        <f t="shared" si="0"/>
        <v xml:space="preserve"> </v>
      </c>
      <c r="K24" s="49"/>
      <c r="L24" s="49"/>
      <c r="M24" s="106" t="str">
        <f t="shared" si="4"/>
        <v xml:space="preserve"> </v>
      </c>
    </row>
    <row r="25" spans="1:13" ht="25" x14ac:dyDescent="0.25">
      <c r="A25" s="115" t="str">
        <f>'SC_Loop 1'!A25</f>
        <v>DGD-620</v>
      </c>
      <c r="B25" s="208" t="str">
        <f>'SC_Loop 1'!B25</f>
        <v>Stand-alone LPG detector (24V)</v>
      </c>
      <c r="C25" s="97"/>
      <c r="D25" s="20">
        <f>'SC_Loop 1'!D25</f>
        <v>2.1800000000000001E-3</v>
      </c>
      <c r="E25" s="57">
        <f t="shared" si="2"/>
        <v>0</v>
      </c>
      <c r="F25" s="200">
        <f t="shared" si="5"/>
        <v>0</v>
      </c>
      <c r="G25" s="20">
        <f>'SC_Loop 1'!G25</f>
        <v>2.2200000000000002E-3</v>
      </c>
      <c r="H25" s="57">
        <f t="shared" si="3"/>
        <v>0</v>
      </c>
      <c r="I25" s="49"/>
      <c r="J25" s="49" t="str">
        <f t="shared" si="0"/>
        <v xml:space="preserve"> </v>
      </c>
      <c r="K25" s="49"/>
      <c r="L25" s="49"/>
      <c r="M25" s="106" t="str">
        <f t="shared" si="4"/>
        <v xml:space="preserve"> </v>
      </c>
    </row>
    <row r="26" spans="1:13" ht="25" x14ac:dyDescent="0.25">
      <c r="A26" s="115" t="str">
        <f>'SC_Loop 1'!A26</f>
        <v>DGD-620-AC</v>
      </c>
      <c r="B26" s="208" t="str">
        <f>'SC_Loop 1'!B26</f>
        <v>Stand-alone LPG detector (230V)</v>
      </c>
      <c r="C26" s="97"/>
      <c r="D26" s="20">
        <f>'SC_Loop 1'!D26</f>
        <v>2.5999999999999999E-3</v>
      </c>
      <c r="E26" s="57">
        <f t="shared" si="2"/>
        <v>0</v>
      </c>
      <c r="F26" s="200">
        <f t="shared" si="5"/>
        <v>0</v>
      </c>
      <c r="G26" s="20">
        <f>'SC_Loop 1'!G26</f>
        <v>3.16E-3</v>
      </c>
      <c r="H26" s="57">
        <f t="shared" si="3"/>
        <v>0</v>
      </c>
      <c r="I26" s="49"/>
      <c r="J26" s="49" t="str">
        <f t="shared" si="0"/>
        <v xml:space="preserve"> </v>
      </c>
      <c r="K26" s="49"/>
      <c r="L26" s="49"/>
      <c r="M26" s="106" t="str">
        <f t="shared" si="4"/>
        <v xml:space="preserve"> </v>
      </c>
    </row>
    <row r="27" spans="1:13" ht="25" x14ac:dyDescent="0.25">
      <c r="A27" s="115" t="str">
        <f>'SC_Loop 1'!A27</f>
        <v>DBD-70A</v>
      </c>
      <c r="B27" s="208" t="str">
        <f>'SC_Loop 1'!B27</f>
        <v>Addressable lineal smoke detector</v>
      </c>
      <c r="C27" s="97"/>
      <c r="D27" s="20">
        <f>'SC_Loop 1'!D27</f>
        <v>3.7999999999999999E-2</v>
      </c>
      <c r="E27" s="57">
        <f t="shared" si="2"/>
        <v>0</v>
      </c>
      <c r="F27" s="200">
        <f>C27</f>
        <v>0</v>
      </c>
      <c r="G27" s="20">
        <f>'SC_Loop 1'!G27</f>
        <v>3.7999999999999999E-2</v>
      </c>
      <c r="H27" s="57">
        <f t="shared" si="3"/>
        <v>0</v>
      </c>
      <c r="I27" s="49"/>
      <c r="J27" s="49" t="str">
        <f t="shared" si="0"/>
        <v xml:space="preserve"> </v>
      </c>
      <c r="K27" s="49"/>
      <c r="L27" s="49"/>
      <c r="M27" s="106" t="str">
        <f t="shared" si="4"/>
        <v xml:space="preserve"> </v>
      </c>
    </row>
    <row r="28" spans="1:13" ht="25" x14ac:dyDescent="0.25">
      <c r="A28" s="115" t="str">
        <f>'SC_Loop 1'!A28</f>
        <v>MAD-401 &amp; MAD-401-I</v>
      </c>
      <c r="B28" s="208" t="str">
        <f>'SC_Loop 1'!B28</f>
        <v>1 output addressable module</v>
      </c>
      <c r="C28" s="97"/>
      <c r="D28" s="20">
        <f>'SC_Loop 1'!D28</f>
        <v>2.1680000000000001E-4</v>
      </c>
      <c r="E28" s="57">
        <f t="shared" si="2"/>
        <v>0</v>
      </c>
      <c r="F28" s="199">
        <f>C28*'System Calculation'!$I$14</f>
        <v>0</v>
      </c>
      <c r="G28" s="20">
        <f>'SC_Loop 1'!G28</f>
        <v>3.0600000000000002E-3</v>
      </c>
      <c r="H28" s="57">
        <f t="shared" si="3"/>
        <v>0</v>
      </c>
      <c r="I28" s="49"/>
      <c r="J28" s="49"/>
      <c r="K28" s="49" t="str">
        <f>IF(C28&lt;&gt;0,C28," ")</f>
        <v xml:space="preserve"> </v>
      </c>
      <c r="L28" s="49"/>
      <c r="M28" s="106" t="str">
        <f>IF(K28&lt;&gt;0,K28," ")</f>
        <v xml:space="preserve"> </v>
      </c>
    </row>
    <row r="29" spans="1:13" ht="25" x14ac:dyDescent="0.25">
      <c r="A29" s="115" t="str">
        <f>'SC_Loop 1'!A29</f>
        <v>MAD-402 &amp; MAD-402-I</v>
      </c>
      <c r="B29" s="208" t="str">
        <f>'SC_Loop 1'!B29</f>
        <v>2 outputs addressable module</v>
      </c>
      <c r="C29" s="97"/>
      <c r="D29" s="20">
        <f>'SC_Loop 1'!D29</f>
        <v>2.174E-4</v>
      </c>
      <c r="E29" s="57">
        <f t="shared" si="2"/>
        <v>0</v>
      </c>
      <c r="F29" s="199">
        <f>C29*'System Calculation'!$I$14</f>
        <v>0</v>
      </c>
      <c r="G29" s="20">
        <f>'SC_Loop 1'!G29</f>
        <v>5.9500000000000004E-3</v>
      </c>
      <c r="H29" s="57">
        <f t="shared" si="3"/>
        <v>0</v>
      </c>
      <c r="I29" s="49"/>
      <c r="J29" s="49"/>
      <c r="K29" s="49">
        <f>IF(C29&lt;&gt;0,C29,0)</f>
        <v>0</v>
      </c>
      <c r="L29" s="49"/>
      <c r="M29" s="106" t="str">
        <f>IF(K29&lt;&gt;0,K29*2," ")</f>
        <v xml:space="preserve"> </v>
      </c>
    </row>
    <row r="30" spans="1:13" ht="25" x14ac:dyDescent="0.25">
      <c r="A30" s="115" t="str">
        <f>'SC_Loop 1'!A30</f>
        <v>MAD-405-I</v>
      </c>
      <c r="B30" s="208" t="str">
        <f>'SC_Loop 1'!B30</f>
        <v>5 outputs addressable module</v>
      </c>
      <c r="C30" s="97"/>
      <c r="D30" s="20">
        <f>'SC_Loop 1'!D30</f>
        <v>2.786E-4</v>
      </c>
      <c r="E30" s="57">
        <f t="shared" si="2"/>
        <v>0</v>
      </c>
      <c r="F30" s="199">
        <f>C30*'System Calculation'!$I$14</f>
        <v>0</v>
      </c>
      <c r="G30" s="20">
        <f>'SC_Loop 1'!G30</f>
        <v>3.15E-3</v>
      </c>
      <c r="H30" s="57">
        <f t="shared" si="3"/>
        <v>0</v>
      </c>
      <c r="I30" s="49"/>
      <c r="J30" s="49"/>
      <c r="K30" s="49">
        <f>IF(C30&lt;&gt;0,C30,0)</f>
        <v>0</v>
      </c>
      <c r="L30" s="49"/>
      <c r="M30" s="106" t="str">
        <f>IF(K30&lt;&gt;0,K30*5," ")</f>
        <v xml:space="preserve"> </v>
      </c>
    </row>
    <row r="31" spans="1:13" ht="25" x14ac:dyDescent="0.25">
      <c r="A31" s="115" t="str">
        <f>'SC_Loop 1'!A31</f>
        <v>MAD-409-I</v>
      </c>
      <c r="B31" s="208" t="str">
        <f>'SC_Loop 1'!B31</f>
        <v>10 outputs addressable module</v>
      </c>
      <c r="C31" s="97"/>
      <c r="D31" s="20">
        <f>'SC_Loop 1'!D31</f>
        <v>3.6769999999999999E-4</v>
      </c>
      <c r="E31" s="57">
        <f t="shared" si="2"/>
        <v>0</v>
      </c>
      <c r="F31" s="199">
        <f>C31*'System Calculation'!$I$14</f>
        <v>0</v>
      </c>
      <c r="G31" s="20">
        <f>'SC_Loop 1'!G31</f>
        <v>3.3E-3</v>
      </c>
      <c r="H31" s="57">
        <f t="shared" si="3"/>
        <v>0</v>
      </c>
      <c r="I31" s="49"/>
      <c r="J31" s="49"/>
      <c r="K31" s="49"/>
      <c r="L31" s="49"/>
      <c r="M31" s="106" t="str">
        <f>IF(K31&lt;&gt;0,K31*10," ")</f>
        <v xml:space="preserve"> </v>
      </c>
    </row>
    <row r="32" spans="1:13" ht="25" x14ac:dyDescent="0.25">
      <c r="A32" s="115" t="str">
        <f>'SC_Loop 1'!A32</f>
        <v>MAD-411 &amp; MAD-411-I</v>
      </c>
      <c r="B32" s="208" t="str">
        <f>'SC_Loop 1'!B32</f>
        <v>1 input addressable module</v>
      </c>
      <c r="C32" s="97"/>
      <c r="D32" s="20">
        <f>'SC_Loop 1'!D32</f>
        <v>1.916E-4</v>
      </c>
      <c r="E32" s="57">
        <f t="shared" si="2"/>
        <v>0</v>
      </c>
      <c r="F32" s="199">
        <f>C32*'System Calculation'!$I$14</f>
        <v>0</v>
      </c>
      <c r="G32" s="20">
        <f>'SC_Loop 1'!G32</f>
        <v>3.0600000000000002E-3</v>
      </c>
      <c r="H32" s="57">
        <f t="shared" si="3"/>
        <v>0</v>
      </c>
      <c r="I32" s="49"/>
      <c r="J32" s="49"/>
      <c r="K32" s="49" t="str">
        <f>IF(C32&lt;&gt;0,C32," ")</f>
        <v xml:space="preserve"> </v>
      </c>
      <c r="L32" s="49"/>
      <c r="M32" s="106" t="str">
        <f t="shared" ref="M32" si="6">IF(K32&lt;&gt;0,K32," ")</f>
        <v xml:space="preserve"> </v>
      </c>
    </row>
    <row r="33" spans="1:15" ht="25" x14ac:dyDescent="0.25">
      <c r="A33" s="115" t="str">
        <f>'SC_Loop 1'!A33</f>
        <v>MAD-412 &amp; MAD-412-I</v>
      </c>
      <c r="B33" s="208" t="str">
        <f>'SC_Loop 1'!B33</f>
        <v>2 inputs addressable module</v>
      </c>
      <c r="C33" s="97"/>
      <c r="D33" s="20">
        <f>'SC_Loop 1'!D33</f>
        <v>1.9099999999999998E-4</v>
      </c>
      <c r="E33" s="57">
        <f t="shared" si="2"/>
        <v>0</v>
      </c>
      <c r="F33" s="199">
        <f>C33*'System Calculation'!$I$14</f>
        <v>0</v>
      </c>
      <c r="G33" s="20">
        <f>'SC_Loop 1'!G33</f>
        <v>5.8399999999999997E-3</v>
      </c>
      <c r="H33" s="57">
        <f t="shared" si="3"/>
        <v>0</v>
      </c>
      <c r="I33" s="49"/>
      <c r="J33" s="49"/>
      <c r="K33" s="49">
        <f t="shared" ref="K33:K39" si="7">IF(C33&lt;&gt;0,C33,0)</f>
        <v>0</v>
      </c>
      <c r="L33" s="49"/>
      <c r="M33" s="106" t="str">
        <f>IF(K33&lt;&gt;0,K33*2," ")</f>
        <v xml:space="preserve"> </v>
      </c>
    </row>
    <row r="34" spans="1:15" ht="25" x14ac:dyDescent="0.25">
      <c r="A34" s="115" t="str">
        <f>'SC_Loop 1'!A34</f>
        <v>MAD-415-I</v>
      </c>
      <c r="B34" s="208" t="str">
        <f>'SC_Loop 1'!B34</f>
        <v>5 inputs addressable module</v>
      </c>
      <c r="C34" s="97"/>
      <c r="D34" s="20">
        <f>'SC_Loop 1'!D34</f>
        <v>1.8880000000000001E-4</v>
      </c>
      <c r="E34" s="57">
        <f t="shared" si="2"/>
        <v>0</v>
      </c>
      <c r="F34" s="199">
        <f>C34*'System Calculation'!$I$14</f>
        <v>0</v>
      </c>
      <c r="G34" s="20">
        <f>'SC_Loop 1'!G34</f>
        <v>3.9500000000000004E-3</v>
      </c>
      <c r="H34" s="57">
        <f t="shared" si="3"/>
        <v>0</v>
      </c>
      <c r="I34" s="49"/>
      <c r="J34" s="49"/>
      <c r="K34" s="49">
        <f t="shared" si="7"/>
        <v>0</v>
      </c>
      <c r="L34" s="49"/>
      <c r="M34" s="106" t="str">
        <f>IF(KJ34&lt;&gt;0,K34*5," ")</f>
        <v xml:space="preserve"> </v>
      </c>
      <c r="O34" s="13" t="str">
        <f t="shared" ref="O34" si="8">IF(AND(C34&gt;0),"Info: External 24V needed. Control Panel could provide from 24Vaux, if 500mA maximum current isn't exceeded."," ")</f>
        <v xml:space="preserve"> </v>
      </c>
    </row>
    <row r="35" spans="1:15" ht="25" x14ac:dyDescent="0.25">
      <c r="A35" s="115" t="str">
        <f>'SC_Loop 1'!A35</f>
        <v>MAD-419-I</v>
      </c>
      <c r="B35" s="208" t="str">
        <f>'SC_Loop 1'!B35</f>
        <v>10 inputs addressable module</v>
      </c>
      <c r="C35" s="97"/>
      <c r="D35" s="20">
        <f>'SC_Loop 1'!D35</f>
        <v>1.8919999999999999E-4</v>
      </c>
      <c r="E35" s="57">
        <f t="shared" si="2"/>
        <v>0</v>
      </c>
      <c r="F35" s="199">
        <f>C35*'System Calculation'!$I$14</f>
        <v>0</v>
      </c>
      <c r="G35" s="20">
        <f>'SC_Loop 1'!G35</f>
        <v>4.8399999999999997E-3</v>
      </c>
      <c r="H35" s="57">
        <f t="shared" si="3"/>
        <v>0</v>
      </c>
      <c r="I35" s="49"/>
      <c r="J35" s="49"/>
      <c r="K35" s="49">
        <f t="shared" si="7"/>
        <v>0</v>
      </c>
      <c r="L35" s="49"/>
      <c r="M35" s="106" t="str">
        <f>IF(K35&lt;&gt;0,K35*10," ")</f>
        <v xml:space="preserve"> </v>
      </c>
      <c r="O35" s="13" t="str">
        <f>IF(AND(C33&gt;0),"Info: External 24V needed. Control Panel could provide from 24Vaux, if 500mA maximum current isn't exceeded."," ")</f>
        <v xml:space="preserve"> </v>
      </c>
    </row>
    <row r="36" spans="1:15" ht="25" x14ac:dyDescent="0.25">
      <c r="A36" s="115" t="str">
        <f>'SC_Loop 1'!A36</f>
        <v>MAD-421 &amp; MAD-421-I</v>
      </c>
      <c r="B36" s="208" t="str">
        <f>'SC_Loop 1'!B36</f>
        <v>1 output/1 input addressable module</v>
      </c>
      <c r="C36" s="97"/>
      <c r="D36" s="20">
        <f>'SC_Loop 1'!D36</f>
        <v>2.1009999999999998E-4</v>
      </c>
      <c r="E36" s="57">
        <f t="shared" si="2"/>
        <v>0</v>
      </c>
      <c r="F36" s="199">
        <f>C36*'System Calculation'!$I$14</f>
        <v>0</v>
      </c>
      <c r="G36" s="20">
        <f>'SC_Loop 1'!G36</f>
        <v>5.9199999999999999E-3</v>
      </c>
      <c r="H36" s="57">
        <f t="shared" si="3"/>
        <v>0</v>
      </c>
      <c r="I36" s="49"/>
      <c r="J36" s="49"/>
      <c r="K36" s="49">
        <f t="shared" si="7"/>
        <v>0</v>
      </c>
      <c r="L36" s="49"/>
      <c r="M36" s="106" t="str">
        <f>IF(K36&lt;&gt;0,K36*2," ")</f>
        <v xml:space="preserve"> </v>
      </c>
      <c r="O36" s="13"/>
    </row>
    <row r="37" spans="1:15" ht="25" x14ac:dyDescent="0.25">
      <c r="A37" s="115" t="str">
        <f>'SC_Loop 1'!A37</f>
        <v>MAD-422 &amp; MAD-422-I</v>
      </c>
      <c r="B37" s="208" t="str">
        <f>'SC_Loop 1'!B37</f>
        <v>2 outputs/2 inputs addressable module</v>
      </c>
      <c r="C37" s="97"/>
      <c r="D37" s="20">
        <f>'SC_Loop 1'!D37</f>
        <v>2.34E-4</v>
      </c>
      <c r="E37" s="57">
        <f t="shared" si="2"/>
        <v>0</v>
      </c>
      <c r="F37" s="199">
        <f>C37*'System Calculation'!$I$14</f>
        <v>0</v>
      </c>
      <c r="G37" s="20">
        <f>'SC_Loop 1'!G37</f>
        <v>5.9100000000000003E-3</v>
      </c>
      <c r="H37" s="57">
        <f t="shared" si="3"/>
        <v>0</v>
      </c>
      <c r="I37" s="49"/>
      <c r="J37" s="49"/>
      <c r="K37" s="49">
        <f t="shared" si="7"/>
        <v>0</v>
      </c>
      <c r="L37" s="49"/>
      <c r="M37" s="106" t="str">
        <f>IF(K37&lt;&gt;0,K37*4," ")</f>
        <v xml:space="preserve"> </v>
      </c>
      <c r="O37" s="13"/>
    </row>
    <row r="38" spans="1:15" ht="25" x14ac:dyDescent="0.25">
      <c r="A38" s="115" t="str">
        <f>'SC_Loop 1'!A38</f>
        <v>MAD-425-I</v>
      </c>
      <c r="B38" s="208" t="str">
        <f>'SC_Loop 1'!B38</f>
        <v>5 outputs/5 inputs addressable module</v>
      </c>
      <c r="C38" s="97"/>
      <c r="D38" s="20">
        <f>'SC_Loop 1'!D38</f>
        <v>2.8399999999999996E-4</v>
      </c>
      <c r="E38" s="57">
        <f t="shared" si="2"/>
        <v>0</v>
      </c>
      <c r="F38" s="199">
        <f>C38*'System Calculation'!$I$14</f>
        <v>0</v>
      </c>
      <c r="G38" s="20">
        <f>'SC_Loop 1'!G38</f>
        <v>4.0800000000000003E-3</v>
      </c>
      <c r="H38" s="57">
        <f t="shared" si="3"/>
        <v>0</v>
      </c>
      <c r="I38" s="49"/>
      <c r="J38" s="49"/>
      <c r="K38" s="49">
        <f t="shared" si="7"/>
        <v>0</v>
      </c>
      <c r="L38" s="49"/>
      <c r="M38" s="106" t="str">
        <f>IF(K38&lt;&gt;0,K38*10," ")</f>
        <v xml:space="preserve"> </v>
      </c>
      <c r="O38" s="13" t="str">
        <f t="shared" ref="O38:O43" si="9">IF(AND(C38&gt;0),"Info: External 24V needed. Control Panel could provide from 24Vaux, if 500mA maximum current isn't exceeded."," ")</f>
        <v xml:space="preserve"> </v>
      </c>
    </row>
    <row r="39" spans="1:15" ht="25" x14ac:dyDescent="0.25">
      <c r="A39" s="115" t="str">
        <f>'SC_Loop 1'!A39</f>
        <v>MAD-429-I</v>
      </c>
      <c r="B39" s="208" t="str">
        <f>'SC_Loop 1'!B39</f>
        <v>10 outputs/10 inputs addressable module</v>
      </c>
      <c r="C39" s="97"/>
      <c r="D39" s="20">
        <f>'SC_Loop 1'!D39</f>
        <v>3.7659999999999999E-4</v>
      </c>
      <c r="E39" s="57">
        <f t="shared" si="2"/>
        <v>0</v>
      </c>
      <c r="F39" s="199">
        <f>C39*'System Calculation'!$I$14</f>
        <v>0</v>
      </c>
      <c r="G39" s="20">
        <f>'SC_Loop 1'!G39</f>
        <v>5.0000000000000001E-3</v>
      </c>
      <c r="H39" s="57">
        <f t="shared" si="3"/>
        <v>0</v>
      </c>
      <c r="I39" s="49"/>
      <c r="J39" s="49"/>
      <c r="K39" s="49">
        <f t="shared" si="7"/>
        <v>0</v>
      </c>
      <c r="L39" s="49"/>
      <c r="M39" s="106" t="str">
        <f>IF(K39&lt;&gt;0,K39*20," ")</f>
        <v xml:space="preserve"> </v>
      </c>
      <c r="O39" s="13" t="str">
        <f t="shared" si="9"/>
        <v xml:space="preserve"> </v>
      </c>
    </row>
    <row r="40" spans="1:15" ht="25" x14ac:dyDescent="0.25">
      <c r="A40" s="115" t="str">
        <f>'SC_Loop 1'!A40</f>
        <v>MAD-431 &amp; MAD-431-I</v>
      </c>
      <c r="B40" s="208" t="str">
        <f>'SC_Loop 1'!B40</f>
        <v>1 output 24V addressable module</v>
      </c>
      <c r="C40" s="97"/>
      <c r="D40" s="20">
        <f>'SC_Loop 1'!D40</f>
        <v>2.1499999999999999E-4</v>
      </c>
      <c r="E40" s="57">
        <f t="shared" si="2"/>
        <v>0</v>
      </c>
      <c r="F40" s="199">
        <f>C40*'System Calculation'!$I$14</f>
        <v>0</v>
      </c>
      <c r="G40" s="20">
        <f>'SC_Loop 1'!G40</f>
        <v>3.6099999999999999E-3</v>
      </c>
      <c r="H40" s="57">
        <f t="shared" si="3"/>
        <v>0</v>
      </c>
      <c r="I40" s="49"/>
      <c r="J40" s="49"/>
      <c r="K40" s="49" t="str">
        <f>IF(C40&lt;&gt;0,C40," ")</f>
        <v xml:space="preserve"> </v>
      </c>
      <c r="L40" s="49"/>
      <c r="M40" s="106" t="str">
        <f>IF(K40&lt;&gt;0,K40," ")</f>
        <v xml:space="preserve"> </v>
      </c>
      <c r="O40" s="13" t="str">
        <f t="shared" si="9"/>
        <v xml:space="preserve"> </v>
      </c>
    </row>
    <row r="41" spans="1:15" ht="25" x14ac:dyDescent="0.25">
      <c r="A41" s="115" t="str">
        <f>'SC_Loop 1'!A41</f>
        <v>MAD-432 &amp; MAD-432-I</v>
      </c>
      <c r="B41" s="208" t="str">
        <f>'SC_Loop 1'!B41</f>
        <v>2 outputs 24V addressable module</v>
      </c>
      <c r="C41" s="97"/>
      <c r="D41" s="20">
        <f>'SC_Loop 1'!D41</f>
        <v>2.0330000000000001E-4</v>
      </c>
      <c r="E41" s="57">
        <f t="shared" si="2"/>
        <v>0</v>
      </c>
      <c r="F41" s="199">
        <f>C41*'System Calculation'!$I$14</f>
        <v>0</v>
      </c>
      <c r="G41" s="20">
        <f>'SC_Loop 1'!G41</f>
        <v>6.7999999999999996E-3</v>
      </c>
      <c r="H41" s="57">
        <f t="shared" si="3"/>
        <v>0</v>
      </c>
      <c r="I41" s="49"/>
      <c r="J41" s="49"/>
      <c r="K41" s="49" t="str">
        <f t="shared" ref="K41:K43" si="10">IF(C41&lt;&gt;0,C41," ")</f>
        <v xml:space="preserve"> </v>
      </c>
      <c r="L41" s="49"/>
      <c r="M41" s="106" t="str">
        <f>IF(K41&lt;&gt;0,K41," ")</f>
        <v xml:space="preserve"> </v>
      </c>
      <c r="O41" s="13" t="str">
        <f t="shared" si="9"/>
        <v xml:space="preserve"> </v>
      </c>
    </row>
    <row r="42" spans="1:15" ht="25" x14ac:dyDescent="0.25">
      <c r="A42" s="115" t="str">
        <f>'SC_Loop 1'!A42</f>
        <v>MAD-441 &amp; MAD-441-I</v>
      </c>
      <c r="B42" s="208" t="str">
        <f>'SC_Loop 1'!B42</f>
        <v>1 conventional zone addressable module</v>
      </c>
      <c r="C42" s="97"/>
      <c r="D42" s="20">
        <f>'SC_Loop 1'!D42</f>
        <v>1.8780000000000001E-4</v>
      </c>
      <c r="E42" s="57">
        <f t="shared" si="2"/>
        <v>0</v>
      </c>
      <c r="F42" s="199">
        <f>C42*'System Calculation'!$I$14</f>
        <v>0</v>
      </c>
      <c r="G42" s="20">
        <f>'SC_Loop 1'!G42</f>
        <v>3.0400000000000002E-3</v>
      </c>
      <c r="H42" s="57">
        <f t="shared" si="3"/>
        <v>0</v>
      </c>
      <c r="I42" s="49"/>
      <c r="J42" s="49"/>
      <c r="K42" s="49" t="str">
        <f t="shared" si="10"/>
        <v xml:space="preserve"> </v>
      </c>
      <c r="L42" s="49"/>
      <c r="M42" s="106" t="str">
        <f t="shared" ref="M42:M43" si="11">IF(K42&lt;&gt;0,K42," ")</f>
        <v xml:space="preserve"> </v>
      </c>
      <c r="O42" s="13" t="str">
        <f t="shared" si="9"/>
        <v xml:space="preserve"> </v>
      </c>
    </row>
    <row r="43" spans="1:15" ht="25" x14ac:dyDescent="0.25">
      <c r="A43" s="115" t="str">
        <f>'SC_Loop 1'!A43</f>
        <v>MAD-442 &amp; MAD-442-I</v>
      </c>
      <c r="B43" s="208" t="str">
        <f>'SC_Loop 1'!B43</f>
        <v>2 conventionals zones addressable module</v>
      </c>
      <c r="C43" s="97"/>
      <c r="D43" s="20">
        <f>'SC_Loop 1'!D43</f>
        <v>1.8780000000000001E-4</v>
      </c>
      <c r="E43" s="57">
        <f t="shared" si="2"/>
        <v>0</v>
      </c>
      <c r="F43" s="199">
        <f>C43*'System Calculation'!$I$14</f>
        <v>0</v>
      </c>
      <c r="G43" s="20">
        <f>'SC_Loop 1'!G43</f>
        <v>5.8399999999999997E-3</v>
      </c>
      <c r="H43" s="57">
        <f t="shared" si="3"/>
        <v>0</v>
      </c>
      <c r="I43" s="49"/>
      <c r="J43" s="49"/>
      <c r="K43" s="49" t="str">
        <f t="shared" si="10"/>
        <v xml:space="preserve"> </v>
      </c>
      <c r="L43" s="49"/>
      <c r="M43" s="106" t="str">
        <f t="shared" si="11"/>
        <v xml:space="preserve"> </v>
      </c>
      <c r="O43" s="13" t="str">
        <f t="shared" si="9"/>
        <v xml:space="preserve"> </v>
      </c>
    </row>
    <row r="44" spans="1:15" ht="25" x14ac:dyDescent="0.25">
      <c r="A44" s="115" t="str">
        <f>'SC_Loop 1'!A44</f>
        <v>MAD-450 &amp; MAD-450-I</v>
      </c>
      <c r="B44" s="208" t="str">
        <f>'SC_Loop 1'!B44</f>
        <v>Addressable manual call point with isolator</v>
      </c>
      <c r="C44" s="97"/>
      <c r="D44" s="20">
        <f>'SC_Loop 1'!D44</f>
        <v>1.7659999999999998E-4</v>
      </c>
      <c r="E44" s="57">
        <f t="shared" si="2"/>
        <v>0</v>
      </c>
      <c r="F44" s="199">
        <f>C44*'System Calculation'!$I$12</f>
        <v>0</v>
      </c>
      <c r="G44" s="20">
        <f>'SC_Loop 1'!G44</f>
        <v>3.0299999999999997E-3</v>
      </c>
      <c r="H44" s="57">
        <f t="shared" si="3"/>
        <v>0</v>
      </c>
      <c r="I44" s="49"/>
      <c r="J44" s="49" t="str">
        <f t="shared" ref="J44:J45" si="12">IF(C44&lt;&gt;0,C44," ")</f>
        <v xml:space="preserve"> </v>
      </c>
      <c r="K44" s="49"/>
      <c r="L44" s="49"/>
      <c r="M44" s="106" t="str">
        <f t="shared" si="4"/>
        <v xml:space="preserve"> </v>
      </c>
    </row>
    <row r="45" spans="1:15" ht="25" x14ac:dyDescent="0.25">
      <c r="A45" s="115" t="str">
        <f>'SC_Loop 1'!A45</f>
        <v>MAD-451-I</v>
      </c>
      <c r="B45" s="208" t="str">
        <f>'SC_Loop 1'!B45</f>
        <v>Addressable manual call point with isolator</v>
      </c>
      <c r="C45" s="97"/>
      <c r="D45" s="20">
        <f>'SC_Loop 1'!D45</f>
        <v>1.774E-4</v>
      </c>
      <c r="E45" s="57">
        <f t="shared" si="2"/>
        <v>0</v>
      </c>
      <c r="F45" s="199">
        <f>C45*'System Calculation'!$I$12</f>
        <v>0</v>
      </c>
      <c r="G45" s="20">
        <f>'SC_Loop 1'!G45</f>
        <v>3.0000000000000001E-3</v>
      </c>
      <c r="H45" s="57">
        <f t="shared" si="3"/>
        <v>0</v>
      </c>
      <c r="I45" s="49"/>
      <c r="J45" s="49" t="str">
        <f t="shared" si="12"/>
        <v xml:space="preserve"> </v>
      </c>
      <c r="K45" s="49"/>
      <c r="L45" s="49"/>
      <c r="M45" s="106" t="str">
        <f t="shared" si="4"/>
        <v xml:space="preserve"> </v>
      </c>
    </row>
    <row r="46" spans="1:15" ht="25" x14ac:dyDescent="0.25">
      <c r="A46" s="115" t="str">
        <f>'SC_Loop 1'!A46</f>
        <v>MAD-461-I</v>
      </c>
      <c r="B46" s="208" t="str">
        <f>'SC_Loop 1'!B46</f>
        <v>Addressable sounder with isolator</v>
      </c>
      <c r="C46" s="97"/>
      <c r="D46" s="20">
        <f>'SC_Loop 1'!D46</f>
        <v>1.7689999999999999E-4</v>
      </c>
      <c r="E46" s="57">
        <f t="shared" si="2"/>
        <v>0</v>
      </c>
      <c r="F46" s="199">
        <f>C46*'System Calculation'!$I$13</f>
        <v>0</v>
      </c>
      <c r="G46" s="20">
        <f>'SC_Loop 1'!G46</f>
        <v>8.3499999999999998E-3</v>
      </c>
      <c r="H46" s="57">
        <f>F46*G46</f>
        <v>0</v>
      </c>
      <c r="I46" s="49" t="str">
        <f>IF(C46*H46=0," ",H46)</f>
        <v xml:space="preserve"> </v>
      </c>
      <c r="J46" s="49"/>
      <c r="K46" s="49"/>
      <c r="L46" s="49" t="str">
        <f t="shared" ref="L46:L66" si="13">IF(C46&lt;&gt;0,C46," ")</f>
        <v xml:space="preserve"> </v>
      </c>
      <c r="M46" s="106" t="str">
        <f>IF(L46&lt;&gt;0,L46," ")</f>
        <v xml:space="preserve"> </v>
      </c>
    </row>
    <row r="47" spans="1:15" ht="25" x14ac:dyDescent="0.25">
      <c r="A47" s="115" t="str">
        <f>'SC_Loop 1'!A47</f>
        <v>MAD-464-I Low Volume (78 dB)</v>
      </c>
      <c r="B47" s="208" t="str">
        <f>'SC_Loop 1'!B47</f>
        <v>Addressable sounder with isolator</v>
      </c>
      <c r="C47" s="97"/>
      <c r="D47" s="20">
        <f>'SC_Loop 1'!D47</f>
        <v>1.7649999999999998E-4</v>
      </c>
      <c r="E47" s="57">
        <f t="shared" si="2"/>
        <v>0</v>
      </c>
      <c r="F47" s="199">
        <f>C47*'System Calculation'!$I$13</f>
        <v>0</v>
      </c>
      <c r="G47" s="20">
        <f>'SC_Loop 1'!G47</f>
        <v>1.2320000000000001E-2</v>
      </c>
      <c r="H47" s="57">
        <f t="shared" si="3"/>
        <v>0</v>
      </c>
      <c r="I47" s="49" t="str">
        <f t="shared" ref="I47:I66" si="14">IF(C47*H47=0," ",H47)</f>
        <v xml:space="preserve"> </v>
      </c>
      <c r="J47" s="49"/>
      <c r="K47" s="49"/>
      <c r="L47" s="49" t="str">
        <f t="shared" si="13"/>
        <v xml:space="preserve"> </v>
      </c>
      <c r="M47" s="106" t="str">
        <f t="shared" ref="M47:M66" si="15">IF(L47&lt;&gt;0,L47," ")</f>
        <v xml:space="preserve"> </v>
      </c>
    </row>
    <row r="48" spans="1:15" ht="25" x14ac:dyDescent="0.25">
      <c r="A48" s="115" t="str">
        <f>'SC_Loop 1'!A48</f>
        <v>MAD-464-I Medium Volume (93 dB)</v>
      </c>
      <c r="B48" s="208" t="str">
        <f>'SC_Loop 1'!B48</f>
        <v>Addressable sounder with isolator</v>
      </c>
      <c r="C48" s="97"/>
      <c r="D48" s="20">
        <f>'SC_Loop 1'!D48</f>
        <v>1.7649999999999998E-4</v>
      </c>
      <c r="E48" s="57">
        <f t="shared" si="2"/>
        <v>0</v>
      </c>
      <c r="F48" s="199">
        <f>C48*'System Calculation'!$I$13</f>
        <v>0</v>
      </c>
      <c r="G48" s="20">
        <f>'SC_Loop 1'!G48</f>
        <v>1.2320000000000001E-2</v>
      </c>
      <c r="H48" s="57">
        <f t="shared" si="3"/>
        <v>0</v>
      </c>
      <c r="I48" s="49" t="str">
        <f t="shared" si="14"/>
        <v xml:space="preserve"> </v>
      </c>
      <c r="J48" s="49"/>
      <c r="K48" s="49"/>
      <c r="L48" s="49" t="str">
        <f t="shared" si="13"/>
        <v xml:space="preserve"> </v>
      </c>
      <c r="M48" s="106" t="str">
        <f t="shared" si="15"/>
        <v xml:space="preserve"> </v>
      </c>
    </row>
    <row r="49" spans="1:15" ht="25" x14ac:dyDescent="0.25">
      <c r="A49" s="115" t="str">
        <f>'SC_Loop 1'!A49</f>
        <v>MAD-464-I High Volume (97 dB)</v>
      </c>
      <c r="B49" s="208" t="str">
        <f>'SC_Loop 1'!B49</f>
        <v>Addressable sounder with isolator</v>
      </c>
      <c r="C49" s="97"/>
      <c r="D49" s="20">
        <f>'SC_Loop 1'!D49</f>
        <v>1.7649999999999998E-4</v>
      </c>
      <c r="E49" s="57">
        <f t="shared" si="2"/>
        <v>0</v>
      </c>
      <c r="F49" s="199">
        <f>C49*'System Calculation'!$I$13</f>
        <v>0</v>
      </c>
      <c r="G49" s="20">
        <f>'SC_Loop 1'!G49</f>
        <v>1.2320000000000001E-2</v>
      </c>
      <c r="H49" s="57">
        <f t="shared" si="3"/>
        <v>0</v>
      </c>
      <c r="I49" s="49" t="str">
        <f t="shared" si="14"/>
        <v xml:space="preserve"> </v>
      </c>
      <c r="J49" s="49"/>
      <c r="K49" s="49"/>
      <c r="L49" s="49" t="str">
        <f t="shared" si="13"/>
        <v xml:space="preserve"> </v>
      </c>
      <c r="M49" s="106" t="str">
        <f t="shared" si="15"/>
        <v xml:space="preserve"> </v>
      </c>
    </row>
    <row r="50" spans="1:15" ht="37.5" x14ac:dyDescent="0.25">
      <c r="A50" s="115" t="str">
        <f>'SC_Loop 1'!A50</f>
        <v>MAD-465-I Low Volume (78 dB)</v>
      </c>
      <c r="B50" s="208" t="str">
        <f>'SC_Loop 1'!B50</f>
        <v>Addressable sounder with beacon and isolator</v>
      </c>
      <c r="C50" s="97"/>
      <c r="D50" s="20">
        <f>'SC_Loop 1'!D50</f>
        <v>1.773E-4</v>
      </c>
      <c r="E50" s="57">
        <f t="shared" si="2"/>
        <v>0</v>
      </c>
      <c r="F50" s="199">
        <f>C50*'System Calculation'!$I$13</f>
        <v>0</v>
      </c>
      <c r="G50" s="20">
        <f>'SC_Loop 1'!G50</f>
        <v>1.2320000000000001E-2</v>
      </c>
      <c r="H50" s="57">
        <f t="shared" si="3"/>
        <v>0</v>
      </c>
      <c r="I50" s="49" t="str">
        <f t="shared" si="14"/>
        <v xml:space="preserve"> </v>
      </c>
      <c r="J50" s="49"/>
      <c r="K50" s="49"/>
      <c r="L50" s="49" t="str">
        <f t="shared" si="13"/>
        <v xml:space="preserve"> </v>
      </c>
      <c r="M50" s="106" t="str">
        <f t="shared" si="15"/>
        <v xml:space="preserve"> </v>
      </c>
    </row>
    <row r="51" spans="1:15" ht="37.5" x14ac:dyDescent="0.25">
      <c r="A51" s="115" t="str">
        <f>'SC_Loop 1'!A51</f>
        <v>MAD-465-I Medium Volume (93 dB)</v>
      </c>
      <c r="B51" s="208" t="str">
        <f>'SC_Loop 1'!B51</f>
        <v>Addressable sounder with beacon and isolator</v>
      </c>
      <c r="C51" s="97"/>
      <c r="D51" s="20">
        <f>'SC_Loop 1'!D51</f>
        <v>1.773E-4</v>
      </c>
      <c r="E51" s="57">
        <f t="shared" si="2"/>
        <v>0</v>
      </c>
      <c r="F51" s="199">
        <f>C51*'System Calculation'!$I$13</f>
        <v>0</v>
      </c>
      <c r="G51" s="20">
        <f>'SC_Loop 1'!G51</f>
        <v>1.2320000000000001E-2</v>
      </c>
      <c r="H51" s="57">
        <f t="shared" si="3"/>
        <v>0</v>
      </c>
      <c r="I51" s="49" t="str">
        <f t="shared" si="14"/>
        <v xml:space="preserve"> </v>
      </c>
      <c r="J51" s="49"/>
      <c r="K51" s="49"/>
      <c r="L51" s="49" t="str">
        <f t="shared" si="13"/>
        <v xml:space="preserve"> </v>
      </c>
      <c r="M51" s="106" t="str">
        <f t="shared" si="15"/>
        <v xml:space="preserve"> </v>
      </c>
    </row>
    <row r="52" spans="1:15" ht="37.5" x14ac:dyDescent="0.25">
      <c r="A52" s="115" t="str">
        <f>'SC_Loop 1'!A52</f>
        <v>MAD-465-I High Volume (97 dB)</v>
      </c>
      <c r="B52" s="208" t="str">
        <f>'SC_Loop 1'!B52</f>
        <v>Addressable sounder with beacon and isolator</v>
      </c>
      <c r="C52" s="97"/>
      <c r="D52" s="20">
        <f>'SC_Loop 1'!D52</f>
        <v>1.773E-4</v>
      </c>
      <c r="E52" s="57">
        <f t="shared" si="2"/>
        <v>0</v>
      </c>
      <c r="F52" s="199">
        <f>C52*'System Calculation'!$I$13</f>
        <v>0</v>
      </c>
      <c r="G52" s="20">
        <f>'SC_Loop 1'!G52</f>
        <v>1.2320000000000001E-2</v>
      </c>
      <c r="H52" s="57">
        <f t="shared" si="3"/>
        <v>0</v>
      </c>
      <c r="I52" s="49" t="str">
        <f t="shared" si="14"/>
        <v xml:space="preserve"> </v>
      </c>
      <c r="J52" s="49"/>
      <c r="K52" s="49"/>
      <c r="L52" s="49" t="str">
        <f t="shared" si="13"/>
        <v xml:space="preserve"> </v>
      </c>
      <c r="M52" s="106" t="str">
        <f t="shared" si="15"/>
        <v xml:space="preserve"> </v>
      </c>
    </row>
    <row r="53" spans="1:15" ht="25" x14ac:dyDescent="0.25">
      <c r="A53" s="115" t="str">
        <f>'SC_Loop 1'!A53</f>
        <v>MAD-564-I (loop)</v>
      </c>
      <c r="B53" s="208" t="str">
        <f>'SC_Loop 1'!B53</f>
        <v>Addressable sounder with isolator</v>
      </c>
      <c r="C53" s="97"/>
      <c r="D53" s="20">
        <f>'SC_Loop 1'!D53</f>
        <v>1.58E-3</v>
      </c>
      <c r="E53" s="57">
        <f t="shared" si="2"/>
        <v>0</v>
      </c>
      <c r="F53" s="199">
        <f>C53*'System Calculation'!$I$13</f>
        <v>0</v>
      </c>
      <c r="G53" s="20">
        <f>'SC_Loop 1'!G53</f>
        <v>2.111E-2</v>
      </c>
      <c r="H53" s="57">
        <f t="shared" si="3"/>
        <v>0</v>
      </c>
      <c r="I53" s="49" t="str">
        <f t="shared" si="14"/>
        <v xml:space="preserve"> </v>
      </c>
      <c r="J53" s="49"/>
      <c r="K53" s="49"/>
      <c r="L53" s="49" t="str">
        <f t="shared" si="13"/>
        <v xml:space="preserve"> </v>
      </c>
      <c r="M53" s="106" t="str">
        <f t="shared" si="15"/>
        <v xml:space="preserve"> </v>
      </c>
    </row>
    <row r="54" spans="1:15" ht="25" x14ac:dyDescent="0.25">
      <c r="A54" s="115" t="str">
        <f>'SC_Loop 1'!A54</f>
        <v>MAD-564-I (External PS)</v>
      </c>
      <c r="B54" s="208" t="str">
        <f>'SC_Loop 1'!B54</f>
        <v>Addressable sounder with isolator</v>
      </c>
      <c r="C54" s="97"/>
      <c r="D54" s="20">
        <f>'SC_Loop 1'!D54</f>
        <v>3.5E-4</v>
      </c>
      <c r="E54" s="57">
        <f t="shared" si="2"/>
        <v>0</v>
      </c>
      <c r="F54" s="199">
        <f>C54*'System Calculation'!$I$13</f>
        <v>0</v>
      </c>
      <c r="G54" s="20">
        <f>'SC_Loop 1'!G54</f>
        <v>8.0000000000000004E-4</v>
      </c>
      <c r="H54" s="57">
        <f t="shared" si="3"/>
        <v>0</v>
      </c>
      <c r="I54" s="49" t="str">
        <f t="shared" si="14"/>
        <v xml:space="preserve"> </v>
      </c>
      <c r="J54" s="49"/>
      <c r="K54" s="49"/>
      <c r="L54" s="49" t="str">
        <f t="shared" si="13"/>
        <v xml:space="preserve"> </v>
      </c>
      <c r="M54" s="106" t="str">
        <f t="shared" si="15"/>
        <v xml:space="preserve"> </v>
      </c>
      <c r="O54" s="13" t="str">
        <f>IF(AND(C53&gt;0),"Info: External 24V needed. EN 54-4 certificate."," ")</f>
        <v xml:space="preserve"> </v>
      </c>
    </row>
    <row r="55" spans="1:15" ht="25" x14ac:dyDescent="0.25">
      <c r="A55" s="115" t="str">
        <f>'SC_Loop 1'!A55</f>
        <v>MAD-565-I (loop)</v>
      </c>
      <c r="B55" s="208" t="str">
        <f>'SC_Loop 1'!B55</f>
        <v>Addressable sounder with VAD and isolator</v>
      </c>
      <c r="C55" s="97"/>
      <c r="D55" s="20">
        <f>'SC_Loop 1'!D55</f>
        <v>1.58E-3</v>
      </c>
      <c r="E55" s="57">
        <f t="shared" si="2"/>
        <v>0</v>
      </c>
      <c r="F55" s="199">
        <f>C55*'System Calculation'!$I$13</f>
        <v>0</v>
      </c>
      <c r="G55" s="20">
        <f>'SC_Loop 1'!G55</f>
        <v>3.3450000000000001E-2</v>
      </c>
      <c r="H55" s="57">
        <f t="shared" si="3"/>
        <v>0</v>
      </c>
      <c r="I55" s="49" t="str">
        <f t="shared" si="14"/>
        <v xml:space="preserve"> </v>
      </c>
      <c r="J55" s="49"/>
      <c r="K55" s="49"/>
      <c r="L55" s="49" t="str">
        <f t="shared" si="13"/>
        <v xml:space="preserve"> </v>
      </c>
      <c r="M55" s="106" t="str">
        <f t="shared" si="15"/>
        <v xml:space="preserve"> </v>
      </c>
    </row>
    <row r="56" spans="1:15" ht="25" x14ac:dyDescent="0.25">
      <c r="A56" s="115" t="str">
        <f>'SC_Loop 1'!A56</f>
        <v>MAD-565-I (External PS)</v>
      </c>
      <c r="B56" s="208" t="str">
        <f>'SC_Loop 1'!B56</f>
        <v>Addressable sounder with VAD and isolator</v>
      </c>
      <c r="C56" s="97"/>
      <c r="D56" s="20">
        <f>'SC_Loop 1'!D56</f>
        <v>3.5E-4</v>
      </c>
      <c r="E56" s="57">
        <f t="shared" si="2"/>
        <v>0</v>
      </c>
      <c r="F56" s="199">
        <f>C56*'System Calculation'!$I$13</f>
        <v>0</v>
      </c>
      <c r="G56" s="20">
        <f>'SC_Loop 1'!G56</f>
        <v>8.0000000000000004E-4</v>
      </c>
      <c r="H56" s="57">
        <f t="shared" si="3"/>
        <v>0</v>
      </c>
      <c r="I56" s="49" t="str">
        <f t="shared" si="14"/>
        <v xml:space="preserve"> </v>
      </c>
      <c r="J56" s="49"/>
      <c r="K56" s="49"/>
      <c r="L56" s="49" t="str">
        <f t="shared" si="13"/>
        <v xml:space="preserve"> </v>
      </c>
      <c r="M56" s="106" t="str">
        <f t="shared" si="15"/>
        <v xml:space="preserve"> </v>
      </c>
      <c r="O56" s="13" t="str">
        <f>IF(AND(C55&gt;0),"Info: External 24V needed. EN 54-4 certificate."," ")</f>
        <v xml:space="preserve"> </v>
      </c>
    </row>
    <row r="57" spans="1:15" ht="25" x14ac:dyDescent="0.25">
      <c r="A57" s="115" t="str">
        <f>'SC_Loop 1'!A57</f>
        <v>MAD-565-I - only flash (loop)</v>
      </c>
      <c r="B57" s="208" t="str">
        <f>'SC_Loop 1'!B57</f>
        <v>Addressable VAD with isolator</v>
      </c>
      <c r="C57" s="97"/>
      <c r="D57" s="20">
        <f>'SC_Loop 1'!D57</f>
        <v>1.58E-3</v>
      </c>
      <c r="E57" s="57">
        <f>C57*D57</f>
        <v>0</v>
      </c>
      <c r="F57" s="199">
        <f>C57*'System Calculation'!$I$13</f>
        <v>0</v>
      </c>
      <c r="G57" s="20">
        <f>'SC_Loop 1'!G57</f>
        <v>3.3450000000000001E-2</v>
      </c>
      <c r="H57" s="57">
        <f t="shared" si="3"/>
        <v>0</v>
      </c>
      <c r="I57" s="49" t="str">
        <f t="shared" si="14"/>
        <v xml:space="preserve"> </v>
      </c>
      <c r="J57" s="49"/>
      <c r="K57" s="49"/>
      <c r="L57" s="49" t="str">
        <f t="shared" si="13"/>
        <v xml:space="preserve"> </v>
      </c>
      <c r="M57" s="106" t="str">
        <f t="shared" si="15"/>
        <v xml:space="preserve"> </v>
      </c>
    </row>
    <row r="58" spans="1:15" ht="25" x14ac:dyDescent="0.25">
      <c r="A58" s="115" t="str">
        <f>'SC_Loop 1'!A58</f>
        <v>MAD-565-I - only flash (External PS)</v>
      </c>
      <c r="B58" s="208" t="str">
        <f>'SC_Loop 1'!B58</f>
        <v>Addressable VAD with isolator</v>
      </c>
      <c r="C58" s="97"/>
      <c r="D58" s="20">
        <f>'SC_Loop 1'!D58</f>
        <v>3.5E-4</v>
      </c>
      <c r="E58" s="57">
        <f t="shared" ref="E58" si="16">C58*D58</f>
        <v>0</v>
      </c>
      <c r="F58" s="199">
        <f>C58*'System Calculation'!$I$13</f>
        <v>0</v>
      </c>
      <c r="G58" s="20">
        <f>'SC_Loop 1'!G58</f>
        <v>8.0000000000000004E-4</v>
      </c>
      <c r="H58" s="57">
        <f t="shared" si="3"/>
        <v>0</v>
      </c>
      <c r="I58" s="49" t="str">
        <f t="shared" si="14"/>
        <v xml:space="preserve"> </v>
      </c>
      <c r="J58" s="49"/>
      <c r="K58" s="49"/>
      <c r="L58" s="49" t="str">
        <f t="shared" si="13"/>
        <v xml:space="preserve"> </v>
      </c>
      <c r="M58" s="106" t="str">
        <f t="shared" si="15"/>
        <v xml:space="preserve"> </v>
      </c>
      <c r="O58" s="13" t="str">
        <f>IF(AND(C57&gt;0),"Info: External 24V needed. EN 54-4 certificate."," ")</f>
        <v xml:space="preserve"> </v>
      </c>
    </row>
    <row r="59" spans="1:15" ht="25" x14ac:dyDescent="0.25">
      <c r="A59" s="115" t="str">
        <f>'SC_Loop 1'!A59</f>
        <v>MAD-567-I (loop)</v>
      </c>
      <c r="B59" s="208" t="str">
        <f>'SC_Loop 1'!B59</f>
        <v>Sounder base with isolator</v>
      </c>
      <c r="C59" s="97"/>
      <c r="D59" s="20">
        <f>'SC_Loop 1'!D59</f>
        <v>1.17E-3</v>
      </c>
      <c r="E59" s="57">
        <f t="shared" si="2"/>
        <v>0</v>
      </c>
      <c r="F59" s="199">
        <f>C59*'System Calculation'!$I$13</f>
        <v>0</v>
      </c>
      <c r="G59" s="20">
        <f>'SC_Loop 1'!G59</f>
        <v>8.9499999999999996E-3</v>
      </c>
      <c r="H59" s="57">
        <f t="shared" si="3"/>
        <v>0</v>
      </c>
      <c r="I59" s="49" t="str">
        <f t="shared" si="14"/>
        <v xml:space="preserve"> </v>
      </c>
      <c r="J59" s="49"/>
      <c r="K59" s="49"/>
      <c r="L59" s="49" t="str">
        <f t="shared" si="13"/>
        <v xml:space="preserve"> </v>
      </c>
      <c r="M59" s="106" t="str">
        <f t="shared" si="15"/>
        <v xml:space="preserve"> </v>
      </c>
    </row>
    <row r="60" spans="1:15" ht="25" x14ac:dyDescent="0.25">
      <c r="A60" s="115" t="str">
        <f>'SC_Loop 1'!A60</f>
        <v>MAD-567-I (External PS)</v>
      </c>
      <c r="B60" s="208" t="str">
        <f>'SC_Loop 1'!B60</f>
        <v>Sounder base with isolator</v>
      </c>
      <c r="C60" s="97"/>
      <c r="D60" s="20">
        <f>'SC_Loop 1'!D60</f>
        <v>2.61E-4</v>
      </c>
      <c r="E60" s="57">
        <f t="shared" si="2"/>
        <v>0</v>
      </c>
      <c r="F60" s="199">
        <f>C60*'System Calculation'!$I$13</f>
        <v>0</v>
      </c>
      <c r="G60" s="20">
        <f>'SC_Loop 1'!G60</f>
        <v>7.1000000000000002E-4</v>
      </c>
      <c r="H60" s="57">
        <f t="shared" si="3"/>
        <v>0</v>
      </c>
      <c r="I60" s="49" t="str">
        <f t="shared" si="14"/>
        <v xml:space="preserve"> </v>
      </c>
      <c r="J60" s="49"/>
      <c r="K60" s="49"/>
      <c r="L60" s="49" t="str">
        <f t="shared" si="13"/>
        <v xml:space="preserve"> </v>
      </c>
      <c r="M60" s="106" t="str">
        <f t="shared" si="15"/>
        <v xml:space="preserve"> </v>
      </c>
      <c r="O60" s="13" t="str">
        <f>IF(AND(C59&gt;0),"Info: External 24V needed. EN 54-4 certificate."," ")</f>
        <v xml:space="preserve"> </v>
      </c>
    </row>
    <row r="61" spans="1:15" ht="25" x14ac:dyDescent="0.25">
      <c r="A61" s="115" t="str">
        <f>'SC_Loop 1'!A61</f>
        <v>MAD-569-I (loop)</v>
      </c>
      <c r="B61" s="208" t="str">
        <f>'SC_Loop 1'!B61</f>
        <v>Sounder &amp; VAD base with isolator</v>
      </c>
      <c r="C61" s="97"/>
      <c r="D61" s="20">
        <f>'SC_Loop 1'!D61</f>
        <v>1.17E-3</v>
      </c>
      <c r="E61" s="57">
        <f t="shared" si="2"/>
        <v>0</v>
      </c>
      <c r="F61" s="199">
        <f>C61*'System Calculation'!$I$13</f>
        <v>0</v>
      </c>
      <c r="G61" s="20">
        <f>'SC_Loop 1'!G61</f>
        <v>2.3260000000000003E-2</v>
      </c>
      <c r="H61" s="57">
        <f t="shared" si="3"/>
        <v>0</v>
      </c>
      <c r="I61" s="49" t="str">
        <f t="shared" si="14"/>
        <v xml:space="preserve"> </v>
      </c>
      <c r="J61" s="49"/>
      <c r="K61" s="49"/>
      <c r="L61" s="49" t="str">
        <f t="shared" si="13"/>
        <v xml:space="preserve"> </v>
      </c>
      <c r="M61" s="106" t="str">
        <f t="shared" si="15"/>
        <v xml:space="preserve"> </v>
      </c>
    </row>
    <row r="62" spans="1:15" ht="25" x14ac:dyDescent="0.25">
      <c r="A62" s="115" t="str">
        <f>'SC_Loop 1'!A62</f>
        <v>MAD-569-I (External PS)</v>
      </c>
      <c r="B62" s="208" t="str">
        <f>'SC_Loop 1'!B62</f>
        <v>Sounder &amp; VAD base with isolator</v>
      </c>
      <c r="C62" s="97"/>
      <c r="D62" s="20">
        <f>'SC_Loop 1'!D62</f>
        <v>2.5889999999999995E-4</v>
      </c>
      <c r="E62" s="57">
        <f t="shared" si="2"/>
        <v>0</v>
      </c>
      <c r="F62" s="199">
        <f>C62*'System Calculation'!$I$13</f>
        <v>0</v>
      </c>
      <c r="G62" s="20">
        <f>'SC_Loop 1'!G62</f>
        <v>7.1000000000000002E-4</v>
      </c>
      <c r="H62" s="57">
        <f t="shared" si="3"/>
        <v>0</v>
      </c>
      <c r="I62" s="49" t="str">
        <f t="shared" si="14"/>
        <v xml:space="preserve"> </v>
      </c>
      <c r="J62" s="49"/>
      <c r="K62" s="49"/>
      <c r="L62" s="49" t="str">
        <f t="shared" si="13"/>
        <v xml:space="preserve"> </v>
      </c>
      <c r="M62" s="106" t="str">
        <f t="shared" si="15"/>
        <v xml:space="preserve"> </v>
      </c>
      <c r="O62" s="13" t="str">
        <f>IF(AND(C61&gt;0),"Info: External 24V needed. EN 54-4 certificate."," ")</f>
        <v xml:space="preserve"> </v>
      </c>
    </row>
    <row r="63" spans="1:15" ht="25" x14ac:dyDescent="0.25">
      <c r="A63" s="115" t="str">
        <f>'SC_Loop 1'!A63</f>
        <v>MAD-569-I - only flash (loop)</v>
      </c>
      <c r="B63" s="208" t="str">
        <f>'SC_Loop 1'!B63</f>
        <v>VAD base with isolator</v>
      </c>
      <c r="C63" s="97"/>
      <c r="D63" s="20">
        <f>'SC_Loop 1'!D63</f>
        <v>1.17E-3</v>
      </c>
      <c r="E63" s="57">
        <f t="shared" si="2"/>
        <v>0</v>
      </c>
      <c r="F63" s="199">
        <f>C63*'System Calculation'!$I$13</f>
        <v>0</v>
      </c>
      <c r="G63" s="20">
        <f>'SC_Loop 1'!G63</f>
        <v>2.3260000000000003E-2</v>
      </c>
      <c r="H63" s="57">
        <f t="shared" si="3"/>
        <v>0</v>
      </c>
      <c r="I63" s="49" t="str">
        <f t="shared" si="14"/>
        <v xml:space="preserve"> </v>
      </c>
      <c r="J63" s="49"/>
      <c r="K63" s="49"/>
      <c r="L63" s="49" t="str">
        <f t="shared" si="13"/>
        <v xml:space="preserve"> </v>
      </c>
      <c r="M63" s="106" t="str">
        <f t="shared" si="15"/>
        <v xml:space="preserve"> </v>
      </c>
    </row>
    <row r="64" spans="1:15" ht="25" x14ac:dyDescent="0.25">
      <c r="A64" s="115" t="str">
        <f>'SC_Loop 1'!A64</f>
        <v>MAD-569-I only flash (External PS)</v>
      </c>
      <c r="B64" s="208" t="str">
        <f>'SC_Loop 1'!B64</f>
        <v>VAD base with isolator</v>
      </c>
      <c r="C64" s="97"/>
      <c r="D64" s="20">
        <f>'SC_Loop 1'!D64</f>
        <v>2.5889999999999995E-4</v>
      </c>
      <c r="E64" s="57">
        <f t="shared" si="2"/>
        <v>0</v>
      </c>
      <c r="F64" s="199">
        <f>C64*'System Calculation'!$I$13</f>
        <v>0</v>
      </c>
      <c r="G64" s="20">
        <f>'SC_Loop 1'!G64</f>
        <v>7.1000000000000002E-4</v>
      </c>
      <c r="H64" s="57">
        <f t="shared" si="3"/>
        <v>0</v>
      </c>
      <c r="I64" s="49" t="str">
        <f t="shared" si="14"/>
        <v xml:space="preserve"> </v>
      </c>
      <c r="J64" s="49"/>
      <c r="K64" s="49"/>
      <c r="L64" s="49" t="str">
        <f t="shared" si="13"/>
        <v xml:space="preserve"> </v>
      </c>
      <c r="M64" s="106" t="str">
        <f t="shared" si="15"/>
        <v xml:space="preserve"> </v>
      </c>
      <c r="O64" s="13" t="str">
        <f>IF(AND(C63&gt;0),"Info: External 24V needed. EN 54-4 certificate."," ")</f>
        <v xml:space="preserve"> </v>
      </c>
    </row>
    <row r="65" spans="1:15" x14ac:dyDescent="0.25">
      <c r="A65" s="115" t="str">
        <f>'SC_Loop 1'!A65</f>
        <v>MAD-472</v>
      </c>
      <c r="B65" s="208" t="str">
        <f>'SC_Loop 1'!B65</f>
        <v>Sounder base</v>
      </c>
      <c r="C65" s="97"/>
      <c r="D65" s="20">
        <f>'SC_Loop 1'!D65</f>
        <v>1.0739999999999999E-4</v>
      </c>
      <c r="E65" s="57">
        <f>C65*D65</f>
        <v>0</v>
      </c>
      <c r="F65" s="199">
        <f>C65*'System Calculation'!$I$13</f>
        <v>0</v>
      </c>
      <c r="G65" s="20">
        <f>'SC_Loop 1'!G65</f>
        <v>8.4499999999999992E-3</v>
      </c>
      <c r="H65" s="57">
        <f t="shared" si="3"/>
        <v>0</v>
      </c>
      <c r="I65" s="49" t="str">
        <f t="shared" si="14"/>
        <v xml:space="preserve"> </v>
      </c>
      <c r="J65" s="49"/>
      <c r="K65" s="49"/>
      <c r="L65" s="49" t="str">
        <f t="shared" si="13"/>
        <v xml:space="preserve"> </v>
      </c>
      <c r="M65" s="106" t="str">
        <f t="shared" si="15"/>
        <v xml:space="preserve"> </v>
      </c>
      <c r="O65" s="13" t="str">
        <f>IF(AND(C65&gt;0),"Info: External 24V needed. EN 54-4 certificate."," ")</f>
        <v xml:space="preserve"> </v>
      </c>
    </row>
    <row r="66" spans="1:15" ht="25" x14ac:dyDescent="0.25">
      <c r="A66" s="115" t="str">
        <f>'SC_Loop 1'!A66</f>
        <v>MAD-473</v>
      </c>
      <c r="B66" s="208" t="str">
        <f>'SC_Loop 1'!B66</f>
        <v>Sounder base with flash</v>
      </c>
      <c r="C66" s="97"/>
      <c r="D66" s="20">
        <f>'SC_Loop 1'!D66</f>
        <v>1.0679999999999999E-4</v>
      </c>
      <c r="E66" s="57">
        <f t="shared" si="2"/>
        <v>0</v>
      </c>
      <c r="F66" s="199">
        <f>C66*'System Calculation'!$I$13</f>
        <v>0</v>
      </c>
      <c r="G66" s="20">
        <f>'SC_Loop 1'!G66</f>
        <v>9.4800000000000006E-3</v>
      </c>
      <c r="H66" s="57">
        <f t="shared" si="3"/>
        <v>0</v>
      </c>
      <c r="I66" s="49" t="str">
        <f t="shared" si="14"/>
        <v xml:space="preserve"> </v>
      </c>
      <c r="J66" s="49"/>
      <c r="K66" s="49"/>
      <c r="L66" s="49" t="str">
        <f t="shared" si="13"/>
        <v xml:space="preserve"> </v>
      </c>
      <c r="M66" s="106" t="str">
        <f t="shared" si="15"/>
        <v xml:space="preserve"> </v>
      </c>
    </row>
    <row r="67" spans="1:15" ht="25" x14ac:dyDescent="0.25">
      <c r="A67" s="115" t="str">
        <f>'SC_Loop 1'!A67</f>
        <v>MAD-481</v>
      </c>
      <c r="B67" s="208" t="str">
        <f>'SC_Loop 1'!B67</f>
        <v>1 output 230V addressable module</v>
      </c>
      <c r="C67" s="97"/>
      <c r="D67" s="20">
        <f>'SC_Loop 1'!D67</f>
        <v>2.9999999999999997E-4</v>
      </c>
      <c r="E67" s="57">
        <f t="shared" si="2"/>
        <v>0</v>
      </c>
      <c r="F67" s="199">
        <f>C67*'System Calculation'!$I$14</f>
        <v>0</v>
      </c>
      <c r="G67" s="20">
        <f>'SC_Loop 1'!G67</f>
        <v>3.0000000000000001E-3</v>
      </c>
      <c r="H67" s="57">
        <f t="shared" si="3"/>
        <v>0</v>
      </c>
      <c r="I67" s="49"/>
      <c r="J67" s="49"/>
      <c r="K67" s="49" t="str">
        <f>IF(C67&lt;&gt;0,C67," ")</f>
        <v xml:space="preserve"> </v>
      </c>
      <c r="L67" s="49"/>
      <c r="M67" s="106" t="str">
        <f>IF(K67&lt;&gt;0,K67," ")</f>
        <v xml:space="preserve"> </v>
      </c>
    </row>
    <row r="68" spans="1:15" ht="37.5" x14ac:dyDescent="0.25">
      <c r="A68" s="115" t="str">
        <f>'SC_Loop 1'!A68</f>
        <v>MAD-481-I</v>
      </c>
      <c r="B68" s="208" t="str">
        <f>'SC_Loop 1'!B68</f>
        <v>1 output 230V addressable module with isolator</v>
      </c>
      <c r="C68" s="97"/>
      <c r="D68" s="20">
        <f>'SC_Loop 1'!D68</f>
        <v>2.9999999999999997E-4</v>
      </c>
      <c r="E68" s="57">
        <f t="shared" si="2"/>
        <v>0</v>
      </c>
      <c r="F68" s="199">
        <f>C68*'System Calculation'!$I$14</f>
        <v>0</v>
      </c>
      <c r="G68" s="20">
        <f>'SC_Loop 1'!G68</f>
        <v>3.0000000000000001E-3</v>
      </c>
      <c r="H68" s="57">
        <f t="shared" si="3"/>
        <v>0</v>
      </c>
      <c r="I68" s="49"/>
      <c r="J68" s="49"/>
      <c r="K68" s="49" t="str">
        <f>IF(C68&lt;&gt;0,C68," ")</f>
        <v xml:space="preserve"> </v>
      </c>
      <c r="L68" s="49"/>
      <c r="M68" s="106" t="str">
        <f t="shared" ref="M68:M69" si="17">IF(K68&lt;&gt;0,K68," ")</f>
        <v xml:space="preserve"> </v>
      </c>
      <c r="O68" s="13"/>
    </row>
    <row r="69" spans="1:15" x14ac:dyDescent="0.25">
      <c r="A69" s="115" t="str">
        <f>'SC_Loop 1'!A69</f>
        <v>MAD-490</v>
      </c>
      <c r="B69" s="208" t="str">
        <f>'SC_Loop 1'!B69</f>
        <v>Isolator module</v>
      </c>
      <c r="C69" s="97"/>
      <c r="D69" s="20">
        <f>'SC_Loop 1'!D69</f>
        <v>6.9599999999999998E-5</v>
      </c>
      <c r="E69" s="57">
        <f t="shared" si="2"/>
        <v>0</v>
      </c>
      <c r="F69" s="199">
        <f>C69*'System Calculation'!$I$14</f>
        <v>0</v>
      </c>
      <c r="G69" s="20">
        <f>'SC_Loop 1'!G69</f>
        <v>3.7659999999999999E-2</v>
      </c>
      <c r="H69" s="57">
        <f t="shared" si="3"/>
        <v>0</v>
      </c>
      <c r="I69" s="49"/>
      <c r="J69" s="49"/>
      <c r="K69" s="49" t="str">
        <f>IF(C69&lt;&gt;0,C69," ")</f>
        <v xml:space="preserve"> </v>
      </c>
      <c r="L69" s="49"/>
      <c r="M69" s="106" t="str">
        <f t="shared" si="17"/>
        <v xml:space="preserve"> </v>
      </c>
    </row>
    <row r="70" spans="1:15" ht="25" x14ac:dyDescent="0.25">
      <c r="A70" s="115" t="str">
        <f>'SC_Loop 1'!A70</f>
        <v>PAD-10A-I</v>
      </c>
      <c r="B70" s="208" t="str">
        <f>'SC_Loop 1'!B70</f>
        <v>Remote indicator with isolator</v>
      </c>
      <c r="C70" s="97"/>
      <c r="D70" s="20">
        <f>'SC_Loop 1'!D70</f>
        <v>1.7640000000000001E-4</v>
      </c>
      <c r="E70" s="57">
        <f t="shared" si="2"/>
        <v>0</v>
      </c>
      <c r="F70" s="199">
        <f>IF(C70&gt;10,10,C70)</f>
        <v>0</v>
      </c>
      <c r="G70" s="20">
        <f>'SC_Loop 1'!G70</f>
        <v>2.98E-3</v>
      </c>
      <c r="H70" s="57">
        <f t="shared" si="3"/>
        <v>0</v>
      </c>
      <c r="I70" s="49"/>
      <c r="J70" s="49" t="str">
        <f t="shared" ref="J70" si="18">IF(C70&lt;&gt;0,C70," ")</f>
        <v xml:space="preserve"> </v>
      </c>
      <c r="K70" s="49"/>
      <c r="L70" s="49"/>
      <c r="M70" s="106" t="str">
        <f t="shared" si="4"/>
        <v xml:space="preserve"> </v>
      </c>
    </row>
    <row r="71" spans="1:15" ht="37.5" x14ac:dyDescent="0.25">
      <c r="A71" s="115" t="str">
        <f>'SC_Loop 1'!A71</f>
        <v>TPLD-100 (CCD-102) = 3 loop address</v>
      </c>
      <c r="B71" s="208" t="str">
        <f>'SC_Loop 1'!B71</f>
        <v>2 zones fire alarm control panel connected to loop</v>
      </c>
      <c r="C71" s="97"/>
      <c r="D71" s="20">
        <f>'SC_Loop 1'!D71</f>
        <v>1.8629999999999999E-3</v>
      </c>
      <c r="E71" s="57">
        <f t="shared" si="2"/>
        <v>0</v>
      </c>
      <c r="F71" s="199">
        <f>C71</f>
        <v>0</v>
      </c>
      <c r="G71" s="20">
        <f>'SC_Loop 1'!G71</f>
        <v>1.8600000000000001E-3</v>
      </c>
      <c r="H71" s="57">
        <f t="shared" si="3"/>
        <v>0</v>
      </c>
      <c r="I71" s="49"/>
      <c r="J71" s="49"/>
      <c r="K71" s="49"/>
      <c r="L71" s="49"/>
      <c r="M71" s="106" t="str">
        <f>IF(C75&lt;&gt;0,3*C75," ")</f>
        <v xml:space="preserve"> </v>
      </c>
    </row>
    <row r="72" spans="1:15" ht="37.5" x14ac:dyDescent="0.25">
      <c r="A72" s="115" t="str">
        <f>'SC_Loop 1'!A72</f>
        <v>TPLD-100 (CCD-104) = 5 loop address</v>
      </c>
      <c r="B72" s="208" t="str">
        <f>'SC_Loop 1'!B72</f>
        <v>4 zones fire alarm control panel connected to loop</v>
      </c>
      <c r="C72" s="97"/>
      <c r="D72" s="20">
        <f>'SC_Loop 1'!D72</f>
        <v>1.8629999999999999E-3</v>
      </c>
      <c r="E72" s="57">
        <f t="shared" si="2"/>
        <v>0</v>
      </c>
      <c r="F72" s="199">
        <f t="shared" ref="F72:F75" si="19">C72</f>
        <v>0</v>
      </c>
      <c r="G72" s="20">
        <f>'SC_Loop 1'!G72</f>
        <v>1.8600000000000001E-3</v>
      </c>
      <c r="H72" s="57">
        <f t="shared" si="3"/>
        <v>0</v>
      </c>
      <c r="I72" s="49"/>
      <c r="J72" s="49"/>
      <c r="K72" s="49"/>
      <c r="L72" s="49"/>
      <c r="M72" s="106" t="str">
        <f>IF(C75&lt;&gt;0,5*C75," ")</f>
        <v xml:space="preserve"> </v>
      </c>
    </row>
    <row r="73" spans="1:15" ht="37.5" x14ac:dyDescent="0.25">
      <c r="A73" s="115" t="str">
        <f>'SC_Loop 1'!A73</f>
        <v>TPLD-100 (CCD-108) = 9 loop address</v>
      </c>
      <c r="B73" s="208" t="str">
        <f>'SC_Loop 1'!B73</f>
        <v>8 zones fire alarm control panel connected to loop</v>
      </c>
      <c r="C73" s="97"/>
      <c r="D73" s="20">
        <f>'SC_Loop 1'!D73</f>
        <v>1.8629999999999999E-3</v>
      </c>
      <c r="E73" s="57">
        <f t="shared" si="2"/>
        <v>0</v>
      </c>
      <c r="F73" s="199">
        <f t="shared" si="19"/>
        <v>0</v>
      </c>
      <c r="G73" s="20">
        <f>'SC_Loop 1'!G73</f>
        <v>1.8600000000000001E-3</v>
      </c>
      <c r="H73" s="57">
        <f t="shared" si="3"/>
        <v>0</v>
      </c>
      <c r="I73" s="49"/>
      <c r="J73" s="49"/>
      <c r="K73" s="49"/>
      <c r="L73" s="49"/>
      <c r="M73" s="106" t="str">
        <f>IF(C75&lt;&gt;0,9*C75," ")</f>
        <v xml:space="preserve"> </v>
      </c>
    </row>
    <row r="74" spans="1:15" ht="37.5" x14ac:dyDescent="0.25">
      <c r="A74" s="115" t="str">
        <f>'SC_Loop 1'!A74</f>
        <v>TPLD-100 (CCD-112) = 13 loop address</v>
      </c>
      <c r="B74" s="208" t="str">
        <f>'SC_Loop 1'!B74</f>
        <v>12 zones fire alarm control panel connected to loop</v>
      </c>
      <c r="C74" s="97"/>
      <c r="D74" s="20">
        <f>'SC_Loop 1'!D74</f>
        <v>1.8629999999999999E-3</v>
      </c>
      <c r="E74" s="57">
        <f t="shared" si="2"/>
        <v>0</v>
      </c>
      <c r="F74" s="199">
        <f t="shared" si="19"/>
        <v>0</v>
      </c>
      <c r="G74" s="20">
        <f>'SC_Loop 1'!G74</f>
        <v>1.8600000000000001E-3</v>
      </c>
      <c r="H74" s="57">
        <f t="shared" si="3"/>
        <v>0</v>
      </c>
      <c r="I74" s="49"/>
      <c r="J74" s="49"/>
      <c r="K74" s="49"/>
      <c r="L74" s="49"/>
      <c r="M74" s="106" t="str">
        <f>IF(C75&lt;&gt;0,13*C75," ")</f>
        <v xml:space="preserve"> </v>
      </c>
    </row>
    <row r="75" spans="1:15" ht="38.5" thickBot="1" x14ac:dyDescent="0.35">
      <c r="A75" s="115" t="str">
        <f>'SC_Loop 1'!A75</f>
        <v>TPLD-100 (CCD-103) = 7 loop address</v>
      </c>
      <c r="B75" s="208" t="str">
        <f>'SC_Loop 1'!B75</f>
        <v>Extinguishing control panel connected to loop</v>
      </c>
      <c r="C75" s="97"/>
      <c r="D75" s="171">
        <f>'SC_Loop 1'!D75</f>
        <v>1.8629999999999999E-3</v>
      </c>
      <c r="E75" s="111">
        <f t="shared" si="2"/>
        <v>0</v>
      </c>
      <c r="F75" s="199">
        <f t="shared" si="19"/>
        <v>0</v>
      </c>
      <c r="G75" s="171">
        <f>'SC_Loop 1'!G75</f>
        <v>1.8600000000000001E-3</v>
      </c>
      <c r="H75" s="111">
        <f t="shared" si="3"/>
        <v>0</v>
      </c>
      <c r="I75" s="39"/>
      <c r="J75" s="39"/>
      <c r="K75" s="39"/>
      <c r="L75" s="121"/>
      <c r="M75" s="112" t="str">
        <f>IF(C75&lt;&gt;0,7*C75," ")</f>
        <v xml:space="preserve"> </v>
      </c>
    </row>
    <row r="76" spans="1:15" s="7" customFormat="1" ht="13.5" thickBot="1" x14ac:dyDescent="0.35">
      <c r="A76" s="15" t="s">
        <v>8</v>
      </c>
      <c r="B76" s="205"/>
      <c r="C76" s="62">
        <f>SUM(C15:C69)+SUM(M72:M75)</f>
        <v>0</v>
      </c>
      <c r="D76" s="213"/>
      <c r="E76" s="59">
        <f>SUM(E15:E75)</f>
        <v>0</v>
      </c>
      <c r="F76" s="61">
        <f>SUM(F15:F69)</f>
        <v>0</v>
      </c>
      <c r="G76" s="212"/>
      <c r="H76" s="59">
        <f t="shared" ref="H76:M76" si="20">SUM(H15:H75)</f>
        <v>0</v>
      </c>
      <c r="I76" s="59">
        <f t="shared" si="20"/>
        <v>0</v>
      </c>
      <c r="J76" s="62">
        <f t="shared" si="20"/>
        <v>0</v>
      </c>
      <c r="K76" s="62">
        <f t="shared" si="20"/>
        <v>0</v>
      </c>
      <c r="L76" s="62">
        <f t="shared" si="20"/>
        <v>0</v>
      </c>
      <c r="M76" s="122">
        <f t="shared" si="20"/>
        <v>0</v>
      </c>
      <c r="O76"/>
    </row>
    <row r="77" spans="1:15" s="7" customFormat="1" ht="13" x14ac:dyDescent="0.3">
      <c r="C77" s="102"/>
      <c r="D77" s="103"/>
      <c r="E77" s="104"/>
      <c r="F77" s="105"/>
      <c r="G77" s="104"/>
      <c r="H77" s="104"/>
      <c r="I77" s="104"/>
      <c r="J77" s="104"/>
      <c r="K77" s="104"/>
      <c r="L77" s="102"/>
      <c r="M77" s="102"/>
    </row>
    <row r="78" spans="1:15" ht="14.4" customHeight="1" thickBot="1" x14ac:dyDescent="0.35">
      <c r="F78" s="26"/>
      <c r="L78" s="130" t="str">
        <f>IF($M$76&gt;250,"Error: The Loop cannot contain more than 250 addresses","")</f>
        <v/>
      </c>
      <c r="O78" s="7"/>
    </row>
    <row r="79" spans="1:15" ht="14.4" customHeight="1" thickBot="1" x14ac:dyDescent="0.35">
      <c r="A79" s="15" t="s">
        <v>136</v>
      </c>
      <c r="B79" s="113"/>
      <c r="C79" s="114"/>
      <c r="D79" s="26"/>
    </row>
    <row r="80" spans="1:15" ht="14.4" customHeight="1" x14ac:dyDescent="0.3">
      <c r="A80" s="96" t="s">
        <v>137</v>
      </c>
      <c r="B80" s="120">
        <v>1.72E-2</v>
      </c>
      <c r="C80" s="117" t="s">
        <v>138</v>
      </c>
      <c r="D80" s="26"/>
    </row>
    <row r="81" spans="1:12" ht="14.4" customHeight="1" x14ac:dyDescent="0.3">
      <c r="A81" s="21" t="s">
        <v>139</v>
      </c>
      <c r="B81" s="119">
        <f>E76</f>
        <v>0</v>
      </c>
      <c r="C81" s="95" t="s">
        <v>9</v>
      </c>
      <c r="D81" s="26"/>
    </row>
    <row r="82" spans="1:12" ht="14.4" customHeight="1" x14ac:dyDescent="0.3">
      <c r="A82" s="21" t="s">
        <v>140</v>
      </c>
      <c r="B82" s="119">
        <f>H76-I76</f>
        <v>0</v>
      </c>
      <c r="C82" s="95" t="s">
        <v>9</v>
      </c>
      <c r="D82" s="26"/>
    </row>
    <row r="83" spans="1:12" ht="14.4" customHeight="1" x14ac:dyDescent="0.3">
      <c r="A83" s="21" t="s">
        <v>141</v>
      </c>
      <c r="B83" s="119">
        <f>I76</f>
        <v>0</v>
      </c>
      <c r="C83" s="95" t="s">
        <v>9</v>
      </c>
      <c r="D83" s="26"/>
    </row>
    <row r="84" spans="1:12" ht="14.4" customHeight="1" x14ac:dyDescent="0.3">
      <c r="A84" s="21" t="s">
        <v>142</v>
      </c>
      <c r="B84" s="119">
        <f>SUM(B82:B83)</f>
        <v>0</v>
      </c>
      <c r="C84" s="95" t="s">
        <v>9</v>
      </c>
      <c r="D84" s="26"/>
    </row>
    <row r="85" spans="1:12" ht="14.4" customHeight="1" thickBot="1" x14ac:dyDescent="0.35">
      <c r="A85" s="22" t="s">
        <v>143</v>
      </c>
      <c r="B85" s="107">
        <v>6.9</v>
      </c>
      <c r="C85" s="28" t="s">
        <v>144</v>
      </c>
      <c r="D85" s="26"/>
    </row>
    <row r="86" spans="1:12" ht="14.4" customHeight="1" thickBot="1" x14ac:dyDescent="0.35">
      <c r="A86" s="13"/>
      <c r="E86" s="26"/>
    </row>
    <row r="87" spans="1:12" ht="14.4" customHeight="1" thickBot="1" x14ac:dyDescent="0.35">
      <c r="A87" s="8" t="s">
        <v>154</v>
      </c>
      <c r="B87" s="127"/>
      <c r="C87" s="127"/>
      <c r="D87" s="127"/>
      <c r="E87" s="139"/>
      <c r="F87" s="127"/>
      <c r="G87" s="127"/>
      <c r="H87" s="127"/>
      <c r="I87" s="127"/>
      <c r="J87" s="127"/>
      <c r="K87" s="128"/>
      <c r="L87" s="131" t="s">
        <v>150</v>
      </c>
    </row>
    <row r="88" spans="1:12" ht="14.4" customHeight="1" x14ac:dyDescent="0.25">
      <c r="A88" s="145" t="s">
        <v>155</v>
      </c>
      <c r="B88" s="41">
        <v>1000</v>
      </c>
      <c r="C88" s="41">
        <v>1500</v>
      </c>
      <c r="D88" s="41"/>
      <c r="E88" s="41">
        <v>2000</v>
      </c>
      <c r="F88" s="41"/>
      <c r="G88" s="41"/>
      <c r="H88" s="41">
        <v>2500</v>
      </c>
      <c r="I88" s="41">
        <v>3000</v>
      </c>
      <c r="J88" s="141">
        <v>3500</v>
      </c>
      <c r="K88" s="132" t="s">
        <v>151</v>
      </c>
    </row>
    <row r="89" spans="1:12" ht="14.4" customHeight="1" x14ac:dyDescent="0.25">
      <c r="A89" s="48" t="s">
        <v>156</v>
      </c>
      <c r="B89" s="134" t="e">
        <f>((($B$80*B88)/B91)*2)</f>
        <v>#DIV/0!</v>
      </c>
      <c r="C89" s="134" t="e">
        <f t="shared" ref="C89" si="21">((($B$80*C88)/C91)*2)</f>
        <v>#DIV/0!</v>
      </c>
      <c r="D89" s="134"/>
      <c r="E89" s="134" t="e">
        <f t="shared" ref="E89:J89" si="22">((($B$80*E88)/E91)*2)</f>
        <v>#DIV/0!</v>
      </c>
      <c r="F89" s="134" t="e">
        <f t="shared" si="22"/>
        <v>#DIV/0!</v>
      </c>
      <c r="G89" s="134"/>
      <c r="H89" s="134" t="e">
        <f t="shared" si="22"/>
        <v>#DIV/0!</v>
      </c>
      <c r="I89" s="134" t="e">
        <f t="shared" si="22"/>
        <v>#DIV/0!</v>
      </c>
      <c r="J89" s="134" t="e">
        <f t="shared" si="22"/>
        <v>#DIV/0!</v>
      </c>
      <c r="K89" s="133" t="s">
        <v>152</v>
      </c>
    </row>
    <row r="90" spans="1:12" ht="14.4" customHeight="1" thickBot="1" x14ac:dyDescent="0.3">
      <c r="A90" s="144" t="s">
        <v>157</v>
      </c>
      <c r="B90" s="134" t="e">
        <f>B89/2</f>
        <v>#DIV/0!</v>
      </c>
      <c r="C90" s="134" t="e">
        <f t="shared" ref="C90" si="23">C89/2</f>
        <v>#DIV/0!</v>
      </c>
      <c r="D90" s="134"/>
      <c r="E90" s="134" t="e">
        <f t="shared" ref="E90:F90" si="24">E89/2</f>
        <v>#DIV/0!</v>
      </c>
      <c r="F90" s="134" t="e">
        <f t="shared" si="24"/>
        <v>#DIV/0!</v>
      </c>
      <c r="G90" s="134"/>
      <c r="H90" s="134" t="e">
        <f>H89/2</f>
        <v>#DIV/0!</v>
      </c>
      <c r="I90" s="134" t="e">
        <f>I89/2</f>
        <v>#DIV/0!</v>
      </c>
      <c r="J90" s="134" t="e">
        <f>J89/2</f>
        <v>#DIV/0!</v>
      </c>
      <c r="K90" s="143" t="s">
        <v>152</v>
      </c>
    </row>
    <row r="91" spans="1:12" ht="14.4" customHeight="1" thickBot="1" x14ac:dyDescent="0.35">
      <c r="A91" s="15" t="s">
        <v>158</v>
      </c>
      <c r="B91" s="168" t="e">
        <f t="shared" ref="B91:J91" si="25">IF((($B$80*B$88)/(($B$85-((SUM($C$16,$C$18,$C$20,$C$22)*0.155)*$B$84))/$B$84))&lt;0.5,0.5,(($B$80*B$88)/(($B$85-((SUM($C$16,$C$18,$C$20,$C$22)*0.155)*$B$84))/$B$84)))</f>
        <v>#DIV/0!</v>
      </c>
      <c r="C91" s="168" t="e">
        <f t="shared" si="25"/>
        <v>#DIV/0!</v>
      </c>
      <c r="D91" s="168" t="e">
        <f t="shared" si="25"/>
        <v>#DIV/0!</v>
      </c>
      <c r="E91" s="168" t="e">
        <f t="shared" si="25"/>
        <v>#DIV/0!</v>
      </c>
      <c r="F91" s="168" t="e">
        <f t="shared" si="25"/>
        <v>#DIV/0!</v>
      </c>
      <c r="G91" s="168" t="e">
        <f t="shared" si="25"/>
        <v>#DIV/0!</v>
      </c>
      <c r="H91" s="168" t="e">
        <f t="shared" si="25"/>
        <v>#DIV/0!</v>
      </c>
      <c r="I91" s="168" t="e">
        <f t="shared" si="25"/>
        <v>#DIV/0!</v>
      </c>
      <c r="J91" s="168" t="e">
        <f t="shared" si="25"/>
        <v>#DIV/0!</v>
      </c>
      <c r="K91" s="94" t="s">
        <v>130</v>
      </c>
    </row>
    <row r="92" spans="1:12" ht="14.4" customHeight="1" thickBot="1" x14ac:dyDescent="0.35">
      <c r="A92" s="13"/>
      <c r="E92" s="26"/>
    </row>
    <row r="93" spans="1:12" ht="14.4" customHeight="1" thickBot="1" x14ac:dyDescent="0.35">
      <c r="A93" s="8" t="s">
        <v>159</v>
      </c>
      <c r="B93" s="127"/>
      <c r="C93" s="127"/>
      <c r="D93" s="127"/>
      <c r="E93" s="139"/>
      <c r="F93" s="127"/>
      <c r="G93" s="127"/>
      <c r="H93" s="127"/>
      <c r="I93" s="127"/>
      <c r="J93" s="127"/>
      <c r="K93" s="128"/>
      <c r="L93" s="131" t="s">
        <v>153</v>
      </c>
    </row>
    <row r="94" spans="1:12" ht="14.4" customHeight="1" x14ac:dyDescent="0.25">
      <c r="A94" s="132" t="s">
        <v>160</v>
      </c>
      <c r="B94" s="37">
        <v>0.5</v>
      </c>
      <c r="C94" s="41">
        <v>0.75</v>
      </c>
      <c r="D94" s="41"/>
      <c r="E94" s="41">
        <v>1</v>
      </c>
      <c r="F94" s="41"/>
      <c r="G94" s="41"/>
      <c r="H94" s="41">
        <v>1.5</v>
      </c>
      <c r="I94" s="41">
        <v>2.5</v>
      </c>
      <c r="J94" s="141">
        <v>4</v>
      </c>
      <c r="K94" s="132" t="s">
        <v>130</v>
      </c>
    </row>
    <row r="95" spans="1:12" ht="14.4" customHeight="1" x14ac:dyDescent="0.25">
      <c r="A95" s="140" t="s">
        <v>156</v>
      </c>
      <c r="B95" s="134" t="e">
        <f t="shared" ref="B95:J95" si="26">$B$80*B97/B94*2</f>
        <v>#DIV/0!</v>
      </c>
      <c r="C95" s="134" t="e">
        <f t="shared" si="26"/>
        <v>#DIV/0!</v>
      </c>
      <c r="D95" s="134"/>
      <c r="E95" s="134" t="e">
        <f t="shared" ref="E95" si="27">$B$80*E97/E94*2</f>
        <v>#DIV/0!</v>
      </c>
      <c r="F95" s="134" t="e">
        <f t="shared" si="26"/>
        <v>#DIV/0!</v>
      </c>
      <c r="G95" s="134"/>
      <c r="H95" s="134" t="e">
        <f t="shared" si="26"/>
        <v>#DIV/0!</v>
      </c>
      <c r="I95" s="134" t="e">
        <f t="shared" si="26"/>
        <v>#DIV/0!</v>
      </c>
      <c r="J95" s="134" t="e">
        <f t="shared" si="26"/>
        <v>#DIV/0!</v>
      </c>
      <c r="K95" s="133" t="s">
        <v>152</v>
      </c>
    </row>
    <row r="96" spans="1:12" ht="14.4" customHeight="1" thickBot="1" x14ac:dyDescent="0.3">
      <c r="A96" s="142" t="s">
        <v>157</v>
      </c>
      <c r="B96" s="134" t="e">
        <f>B95/2</f>
        <v>#DIV/0!</v>
      </c>
      <c r="C96" s="134" t="e">
        <f t="shared" ref="C96" si="28">C95/2</f>
        <v>#DIV/0!</v>
      </c>
      <c r="D96" s="134"/>
      <c r="E96" s="134" t="e">
        <f t="shared" ref="E96:F96" si="29">E95/2</f>
        <v>#DIV/0!</v>
      </c>
      <c r="F96" s="134" t="e">
        <f t="shared" si="29"/>
        <v>#DIV/0!</v>
      </c>
      <c r="G96" s="134"/>
      <c r="H96" s="134" t="e">
        <f>H95/2</f>
        <v>#DIV/0!</v>
      </c>
      <c r="I96" s="134" t="e">
        <f>I95/2</f>
        <v>#DIV/0!</v>
      </c>
      <c r="J96" s="134" t="e">
        <f>J95/2</f>
        <v>#DIV/0!</v>
      </c>
      <c r="K96" s="143" t="s">
        <v>152</v>
      </c>
    </row>
    <row r="97" spans="1:13" ht="14.4" customHeight="1" thickBot="1" x14ac:dyDescent="0.35">
      <c r="A97" s="94" t="s">
        <v>161</v>
      </c>
      <c r="B97" s="168" t="e">
        <f t="shared" ref="B97:J97" si="30">IF((((($B$85-((SUM($C$16,$C$18,$C$20,$C$22)*0.155)*$B$84))/$B$84)*B$94)/$B$80)&gt;3500,3500,(((($B$85-((SUM($C$16,$C$18,$C$20,$C$22)*0.155)*$B$84))/$B$84)*B$94)/$B$80))</f>
        <v>#DIV/0!</v>
      </c>
      <c r="C97" s="168" t="e">
        <f t="shared" si="30"/>
        <v>#DIV/0!</v>
      </c>
      <c r="D97" s="168" t="e">
        <f t="shared" si="30"/>
        <v>#DIV/0!</v>
      </c>
      <c r="E97" s="168" t="e">
        <f t="shared" si="30"/>
        <v>#DIV/0!</v>
      </c>
      <c r="F97" s="168" t="e">
        <f t="shared" si="30"/>
        <v>#DIV/0!</v>
      </c>
      <c r="G97" s="168" t="e">
        <f t="shared" si="30"/>
        <v>#DIV/0!</v>
      </c>
      <c r="H97" s="168" t="e">
        <f t="shared" si="30"/>
        <v>#DIV/0!</v>
      </c>
      <c r="I97" s="168" t="e">
        <f t="shared" si="30"/>
        <v>#DIV/0!</v>
      </c>
      <c r="J97" s="168" t="e">
        <f t="shared" si="30"/>
        <v>#DIV/0!</v>
      </c>
      <c r="K97" s="94" t="s">
        <v>151</v>
      </c>
    </row>
    <row r="98" spans="1:13" ht="14.4" customHeight="1" thickBot="1" x14ac:dyDescent="0.35">
      <c r="A98" s="13"/>
      <c r="E98" s="26"/>
    </row>
    <row r="99" spans="1:13" ht="14.4" customHeight="1" thickBot="1" x14ac:dyDescent="0.35">
      <c r="A99" s="8" t="s">
        <v>162</v>
      </c>
      <c r="B99" s="127"/>
      <c r="C99" s="128"/>
      <c r="D99" s="26"/>
    </row>
    <row r="100" spans="1:13" ht="14.4" customHeight="1" x14ac:dyDescent="0.3">
      <c r="A100" s="96" t="s">
        <v>163</v>
      </c>
      <c r="B100" s="41">
        <f>$B$8</f>
        <v>1.5</v>
      </c>
      <c r="C100" s="98" t="s">
        <v>130</v>
      </c>
      <c r="D100" s="26"/>
      <c r="G100" s="130" t="str">
        <f>IF(B100&lt;0.5,"Error: The Minimum Cable Seccion in the Loop is 0,5 mm2","")</f>
        <v/>
      </c>
    </row>
    <row r="101" spans="1:13" ht="14.4" customHeight="1" x14ac:dyDescent="0.3">
      <c r="A101" s="21" t="s">
        <v>164</v>
      </c>
      <c r="B101" s="49">
        <f>$B$9</f>
        <v>1000</v>
      </c>
      <c r="C101" s="95" t="s">
        <v>130</v>
      </c>
      <c r="D101" s="26"/>
      <c r="G101" s="130" t="str">
        <f>IF(B101&gt;3500,"Error: The Maximum Lenght in the Line is 3500 meters","")</f>
        <v/>
      </c>
    </row>
    <row r="102" spans="1:13" ht="14.4" customHeight="1" x14ac:dyDescent="0.3">
      <c r="A102" s="21" t="s">
        <v>165</v>
      </c>
      <c r="B102" s="136">
        <f>((($B$80*B101)/B100)*2)+(SUM(C16,C18,C20,C22,)*0.155)</f>
        <v>22.933333333333334</v>
      </c>
      <c r="C102" s="106" t="s">
        <v>152</v>
      </c>
      <c r="D102" s="26"/>
    </row>
    <row r="103" spans="1:13" ht="14.4" customHeight="1" thickBot="1" x14ac:dyDescent="0.35">
      <c r="A103" s="22" t="s">
        <v>166</v>
      </c>
      <c r="B103" s="135">
        <f>B102/2</f>
        <v>11.466666666666667</v>
      </c>
      <c r="C103" s="108" t="s">
        <v>152</v>
      </c>
      <c r="D103" s="26"/>
    </row>
    <row r="104" spans="1:13" ht="14.4" customHeight="1" thickBot="1" x14ac:dyDescent="0.35">
      <c r="A104" s="146" t="s">
        <v>167</v>
      </c>
      <c r="B104" s="147">
        <f>$B$85/$B$103</f>
        <v>0.6017441860465117</v>
      </c>
      <c r="C104" s="147" t="s">
        <v>9</v>
      </c>
      <c r="D104" s="26"/>
    </row>
    <row r="105" spans="1:13" ht="14.4" customHeight="1" thickBot="1" x14ac:dyDescent="0.35">
      <c r="A105" s="8" t="s">
        <v>133</v>
      </c>
      <c r="B105" s="127"/>
      <c r="C105" s="128"/>
      <c r="D105" s="26"/>
    </row>
    <row r="106" spans="1:13" ht="14.4" customHeight="1" thickBot="1" x14ac:dyDescent="0.35">
      <c r="A106" s="8" t="s">
        <v>134</v>
      </c>
      <c r="B106" s="128"/>
      <c r="C106" s="138" t="str">
        <f>IF($B$84&gt;0.4,"FAIL",IF($B$104&gt;=$B$84,"OK","FAIL"))</f>
        <v>OK</v>
      </c>
      <c r="D106" s="26"/>
      <c r="G106" s="130" t="str">
        <f>IF($B$84&gt;0.4,"Error: The Loop Current is upper that Maximum Current allowed",IF($B$104&lt;$B$84,"Error: The Loop Current is upper that Maximum Current allowed",""))</f>
        <v/>
      </c>
    </row>
    <row r="107" spans="1:13" ht="14.4" customHeight="1" thickBot="1" x14ac:dyDescent="0.35">
      <c r="A107" s="8" t="s">
        <v>135</v>
      </c>
      <c r="B107" s="128"/>
      <c r="C107" s="137" t="str">
        <f>IF($M$76&lt;=250,"OK","FAIL")</f>
        <v>OK</v>
      </c>
      <c r="D107" s="26"/>
      <c r="G107" s="130" t="str">
        <f>IF($M$76&gt;250,"Error: The Loop cannot contain more than 250 addresses","")</f>
        <v/>
      </c>
    </row>
    <row r="108" spans="1:13" ht="14.4" customHeight="1" x14ac:dyDescent="0.3">
      <c r="A108" s="13"/>
      <c r="B108" s="13"/>
      <c r="F108" s="26"/>
    </row>
    <row r="110" spans="1:13" ht="27" customHeight="1" x14ac:dyDescent="0.25">
      <c r="A110" s="225" t="s">
        <v>13</v>
      </c>
      <c r="B110" s="225"/>
      <c r="C110" s="225"/>
      <c r="D110" s="225"/>
      <c r="E110" s="225"/>
      <c r="F110" s="225"/>
      <c r="G110" s="225"/>
      <c r="H110" s="225"/>
      <c r="I110" s="225"/>
      <c r="J110" s="225"/>
      <c r="K110" s="225"/>
      <c r="L110" s="225"/>
      <c r="M110" s="225"/>
    </row>
  </sheetData>
  <sheetProtection algorithmName="SHA-512" hashValue="zdrZ8O2HdliAqMUczZxknA+qCqs6NTAwp+KxUwk+wpFW6eF0sNQFghSySR1FVTzSBO+j1+dnTdo8TUkqKMks5g==" saltValue="odHGo1ynPKZgtwYiMgDoqQ==" spinCount="100000" sheet="1" sort="0" autoFilter="0" pivotTables="0"/>
  <mergeCells count="5">
    <mergeCell ref="K7:L7"/>
    <mergeCell ref="H8:J9"/>
    <mergeCell ref="K8:L8"/>
    <mergeCell ref="K9:L9"/>
    <mergeCell ref="A110:M110"/>
  </mergeCells>
  <conditionalFormatting sqref="B89:J90">
    <cfRule type="containsErrors" dxfId="118" priority="5">
      <formula>ISERROR(B89)</formula>
    </cfRule>
  </conditionalFormatting>
  <conditionalFormatting sqref="B91:J91">
    <cfRule type="containsErrors" dxfId="117" priority="3">
      <formula>ISERROR(B91)</formula>
    </cfRule>
  </conditionalFormatting>
  <conditionalFormatting sqref="B95:J96">
    <cfRule type="containsErrors" dxfId="116" priority="4">
      <formula>ISERROR(B95)</formula>
    </cfRule>
  </conditionalFormatting>
  <conditionalFormatting sqref="B97:J97">
    <cfRule type="containsErrors" dxfId="115" priority="1">
      <formula>ISERROR(B97)</formula>
    </cfRule>
  </conditionalFormatting>
  <conditionalFormatting sqref="C106:C107">
    <cfRule type="cellIs" dxfId="114" priority="6" stopIfTrue="1" operator="equal">
      <formula>"FAIL"</formula>
    </cfRule>
  </conditionalFormatting>
  <conditionalFormatting sqref="K15:K75">
    <cfRule type="cellIs" dxfId="113" priority="8" operator="equal">
      <formula>0</formula>
    </cfRule>
  </conditionalFormatting>
  <conditionalFormatting sqref="M8:M9">
    <cfRule type="cellIs" dxfId="112" priority="24" stopIfTrue="1" operator="equal">
      <formula>"FAIL"</formula>
    </cfRule>
  </conditionalFormatting>
  <conditionalFormatting sqref="O34:O35 O56 O58 O60 O62 O64:O65">
    <cfRule type="expression" dxfId="111" priority="11" stopIfTrue="1">
      <formula>$B$38&gt;2</formula>
    </cfRule>
    <cfRule type="expression" dxfId="110" priority="12" stopIfTrue="1">
      <formula>$B$38&lt;3</formula>
    </cfRule>
  </conditionalFormatting>
  <conditionalFormatting sqref="O35:O36">
    <cfRule type="expression" dxfId="109" priority="17" stopIfTrue="1">
      <formula>$B$37&gt;4</formula>
    </cfRule>
    <cfRule type="expression" dxfId="108" priority="18" stopIfTrue="1">
      <formula>$B$37&lt;5</formula>
    </cfRule>
  </conditionalFormatting>
  <conditionalFormatting sqref="O37:O43">
    <cfRule type="expression" dxfId="107" priority="13" stopIfTrue="1">
      <formula>$B$38&gt;2</formula>
    </cfRule>
    <cfRule type="expression" dxfId="106" priority="14" stopIfTrue="1">
      <formula>$B$38&lt;3</formula>
    </cfRule>
  </conditionalFormatting>
  <conditionalFormatting sqref="O54">
    <cfRule type="expression" dxfId="105" priority="9" stopIfTrue="1">
      <formula>$B$38&gt;2</formula>
    </cfRule>
    <cfRule type="expression" dxfId="104" priority="10" stopIfTrue="1">
      <formula>$B$38&lt;3</formula>
    </cfRule>
  </conditionalFormatting>
  <conditionalFormatting sqref="O68">
    <cfRule type="expression" dxfId="103" priority="15" stopIfTrue="1">
      <formula>$B$37&gt;4</formula>
    </cfRule>
    <cfRule type="expression" dxfId="102" priority="16" stopIfTrue="1">
      <formula>$B$37&lt;5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285ECD-9C85-4852-A243-76F60D11E995}">
          <x14:formula1>
            <xm:f>Datos!$F$16:$F$21</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31AA2-EF65-4D40-ACE2-2998078897FE}">
  <sheetPr codeName="Hoja5">
    <pageSetUpPr fitToPage="1"/>
  </sheetPr>
  <dimension ref="A1:O110"/>
  <sheetViews>
    <sheetView zoomScale="120" zoomScaleNormal="120" workbookViewId="0">
      <pane ySplit="14" topLeftCell="A74" activePane="bottomLeft" state="frozen"/>
      <selection pane="bottomLeft" activeCell="C15" sqref="C15:C76"/>
    </sheetView>
  </sheetViews>
  <sheetFormatPr baseColWidth="10" defaultRowHeight="12.5" x14ac:dyDescent="0.25"/>
  <cols>
    <col min="1" max="1" width="31.1796875" customWidth="1"/>
    <col min="2" max="2" width="18.90625" customWidth="1"/>
    <col min="3" max="3" width="10.6328125" customWidth="1"/>
    <col min="4" max="4" width="11.08984375" hidden="1" customWidth="1"/>
    <col min="5" max="5" width="12.81640625" bestFit="1" customWidth="1"/>
    <col min="6" max="7" width="10.6328125" hidden="1" customWidth="1"/>
    <col min="8" max="8" width="10.54296875" bestFit="1" customWidth="1"/>
    <col min="9" max="9" width="10.6328125" customWidth="1"/>
    <col min="10" max="10" width="5.54296875" bestFit="1" customWidth="1"/>
    <col min="11" max="11" width="7" customWidth="1"/>
    <col min="12" max="12" width="6.453125" customWidth="1"/>
    <col min="13" max="13" width="6.54296875" customWidth="1"/>
    <col min="15" max="17" width="11.54296875" customWidth="1"/>
  </cols>
  <sheetData>
    <row r="1" spans="1:15" x14ac:dyDescent="0.25">
      <c r="I1" s="1"/>
      <c r="J1" s="2"/>
      <c r="K1" s="2"/>
      <c r="L1" s="2"/>
    </row>
    <row r="2" spans="1:15" x14ac:dyDescent="0.25">
      <c r="I2" s="1"/>
      <c r="J2" s="2"/>
      <c r="K2" s="2"/>
      <c r="L2" s="2"/>
    </row>
    <row r="3" spans="1:15" ht="14.5" x14ac:dyDescent="0.35">
      <c r="A3" s="3"/>
      <c r="B3" s="3"/>
      <c r="I3" s="1"/>
      <c r="J3" s="2"/>
      <c r="K3" s="2"/>
      <c r="L3" s="2"/>
    </row>
    <row r="4" spans="1:15" ht="14.5" x14ac:dyDescent="0.35">
      <c r="A4" s="3"/>
      <c r="B4" s="3"/>
      <c r="I4" s="1"/>
      <c r="J4" s="2"/>
      <c r="K4" s="2"/>
      <c r="L4" s="2"/>
    </row>
    <row r="5" spans="1:15" s="7" customFormat="1" ht="13.5" thickBot="1" x14ac:dyDescent="0.35">
      <c r="A5" s="4" t="str">
        <f>'System Calculation'!A7</f>
        <v>SYSTEM CALCULATOR DETNOV CAD-150 EXCEL TOOL</v>
      </c>
      <c r="B5" s="4"/>
      <c r="C5" s="4"/>
      <c r="D5" s="4"/>
      <c r="E5" s="4"/>
      <c r="F5" s="4"/>
      <c r="G5" s="4"/>
      <c r="H5" s="4"/>
      <c r="I5" s="6"/>
      <c r="J5" s="5"/>
      <c r="K5" s="5"/>
      <c r="L5" s="5"/>
      <c r="M5" s="12" t="str">
        <f>'System Calculation'!J7</f>
        <v>SC 116 en 2019 i</v>
      </c>
    </row>
    <row r="6" spans="1:15" s="7" customFormat="1" ht="13.5" thickBot="1" x14ac:dyDescent="0.35">
      <c r="I6" s="29"/>
      <c r="J6" s="30"/>
      <c r="K6" s="30"/>
      <c r="L6" s="30"/>
      <c r="M6" s="31"/>
    </row>
    <row r="7" spans="1:15" s="7" customFormat="1" ht="13.5" thickBot="1" x14ac:dyDescent="0.35">
      <c r="A7" s="15" t="s">
        <v>62</v>
      </c>
      <c r="B7" s="99"/>
      <c r="C7" s="100"/>
      <c r="I7" s="29"/>
      <c r="K7" s="226" t="s">
        <v>133</v>
      </c>
      <c r="L7" s="230"/>
      <c r="M7" s="118"/>
      <c r="N7" s="31"/>
    </row>
    <row r="8" spans="1:15" s="7" customFormat="1" ht="13.5" thickBot="1" x14ac:dyDescent="0.35">
      <c r="A8" s="96" t="s">
        <v>128</v>
      </c>
      <c r="B8" s="203">
        <v>1.5</v>
      </c>
      <c r="C8" s="222">
        <f>VLOOKUP($B$8,Datos!$F$16:$G$21,2,FALSE)</f>
        <v>16</v>
      </c>
      <c r="D8" s="207"/>
      <c r="E8" s="207"/>
      <c r="F8" s="204"/>
      <c r="G8" s="13"/>
      <c r="H8" s="231" t="str">
        <f>IF(B9&gt;3500,"Error: The Maximum Lenght in the Line is 3500 m","")</f>
        <v/>
      </c>
      <c r="I8" s="231"/>
      <c r="J8" s="232"/>
      <c r="K8" s="226" t="s">
        <v>134</v>
      </c>
      <c r="L8" s="227"/>
      <c r="M8" s="138" t="str">
        <f>IF($B$84&gt;0.4,"FAIL",IF($B$104&gt;=$B$84,"OK","FAIL"))</f>
        <v>OK</v>
      </c>
      <c r="O8" s="130" t="str">
        <f>IF($B$84&gt;0.4,"Error: The Loop Current is upper that Maximum Current allowed",IF($B$104&lt;$B$84,"Error: The Loop Current is upper that Maximum Current allowed",""))</f>
        <v/>
      </c>
    </row>
    <row r="9" spans="1:15" s="7" customFormat="1" ht="13.5" thickBot="1" x14ac:dyDescent="0.35">
      <c r="A9" s="22" t="s">
        <v>129</v>
      </c>
      <c r="B9" s="101">
        <v>1000</v>
      </c>
      <c r="C9" s="28" t="s">
        <v>131</v>
      </c>
      <c r="D9" s="13"/>
      <c r="E9" s="13"/>
      <c r="F9" s="13"/>
      <c r="G9" s="13"/>
      <c r="H9" s="231"/>
      <c r="I9" s="231"/>
      <c r="J9" s="232"/>
      <c r="K9" s="228" t="s">
        <v>135</v>
      </c>
      <c r="L9" s="229"/>
      <c r="M9" s="137" t="str">
        <f>IF($M$76&lt;=250,"OK","FAIL")</f>
        <v>OK</v>
      </c>
      <c r="O9" s="130" t="str">
        <f>IF($M$76&gt;250,"Error: The Loop cannot contain more than 250 addresses","")</f>
        <v/>
      </c>
    </row>
    <row r="10" spans="1:15" s="7" customFormat="1" ht="13" x14ac:dyDescent="0.3">
      <c r="A10" s="129" t="s">
        <v>149</v>
      </c>
      <c r="B10" s="129"/>
      <c r="I10" s="29"/>
      <c r="J10" s="30"/>
      <c r="K10" s="30"/>
      <c r="L10" s="30"/>
      <c r="M10" s="31"/>
    </row>
    <row r="11" spans="1:15" s="7" customFormat="1" ht="13" x14ac:dyDescent="0.3">
      <c r="A11" s="129"/>
      <c r="B11" s="129"/>
      <c r="I11" s="29"/>
      <c r="J11" s="30"/>
      <c r="K11" s="30"/>
      <c r="L11" s="30"/>
      <c r="M11" s="31"/>
    </row>
    <row r="12" spans="1:15" ht="13.5" thickBot="1" x14ac:dyDescent="0.35">
      <c r="C12" s="11" t="s">
        <v>10</v>
      </c>
      <c r="D12" s="11" t="s">
        <v>10</v>
      </c>
    </row>
    <row r="13" spans="1:15" ht="13.5" thickBot="1" x14ac:dyDescent="0.35">
      <c r="A13" s="8" t="s">
        <v>173</v>
      </c>
      <c r="B13" s="9"/>
      <c r="C13" s="9"/>
      <c r="D13" s="9"/>
      <c r="E13" s="9"/>
      <c r="F13" s="9"/>
      <c r="G13" s="9"/>
      <c r="H13" s="9"/>
      <c r="I13" s="127"/>
      <c r="J13" s="127"/>
      <c r="K13" s="127"/>
      <c r="L13" s="127"/>
      <c r="M13" s="128"/>
    </row>
    <row r="14" spans="1:15" s="7" customFormat="1" ht="13.5" thickBot="1" x14ac:dyDescent="0.35">
      <c r="A14" s="215" t="s">
        <v>0</v>
      </c>
      <c r="B14" s="216" t="s">
        <v>223</v>
      </c>
      <c r="C14" s="217" t="s">
        <v>1</v>
      </c>
      <c r="D14" s="217" t="s">
        <v>38</v>
      </c>
      <c r="E14" s="217" t="s">
        <v>38</v>
      </c>
      <c r="F14" s="217" t="s">
        <v>109</v>
      </c>
      <c r="G14" s="217" t="s">
        <v>39</v>
      </c>
      <c r="H14" s="217" t="s">
        <v>39</v>
      </c>
      <c r="I14" s="99" t="s">
        <v>132</v>
      </c>
      <c r="J14" s="99" t="s">
        <v>145</v>
      </c>
      <c r="K14" s="99" t="s">
        <v>146</v>
      </c>
      <c r="L14" s="99" t="s">
        <v>147</v>
      </c>
      <c r="M14" s="100" t="s">
        <v>148</v>
      </c>
    </row>
    <row r="15" spans="1:15" ht="25" x14ac:dyDescent="0.25">
      <c r="A15" s="115" t="str">
        <f>'SC_Loop 1'!A15</f>
        <v>DOD-220A</v>
      </c>
      <c r="B15" s="208" t="str">
        <f>'SC_Loop 1'!B15</f>
        <v>Addressable smoke detector</v>
      </c>
      <c r="C15" s="97"/>
      <c r="D15" s="214">
        <f>'SC_Loop 1'!D15</f>
        <v>1.272E-4</v>
      </c>
      <c r="E15" s="116">
        <f>C15*D15</f>
        <v>0</v>
      </c>
      <c r="F15" s="200">
        <f>IF(C15&gt;10,10,C15)</f>
        <v>0</v>
      </c>
      <c r="G15" s="214">
        <f>'SC_Loop 1'!G15</f>
        <v>3.6099999999999999E-3</v>
      </c>
      <c r="H15" s="116">
        <f>F15*G15</f>
        <v>0</v>
      </c>
      <c r="I15" s="41"/>
      <c r="J15" s="41" t="str">
        <f t="shared" ref="J15:J27" si="0">IF(C15&lt;&gt;0,C15," ")</f>
        <v xml:space="preserve"> </v>
      </c>
      <c r="K15" s="41"/>
      <c r="L15" s="41"/>
      <c r="M15" s="117" t="str">
        <f>IF(J15&lt;&gt;0,J15," ")</f>
        <v xml:space="preserve"> </v>
      </c>
    </row>
    <row r="16" spans="1:15" ht="25" x14ac:dyDescent="0.25">
      <c r="A16" s="115" t="str">
        <f>'SC_Loop 1'!A16</f>
        <v>DOD-220A-I</v>
      </c>
      <c r="B16" s="208" t="str">
        <f>'SC_Loop 1'!B16</f>
        <v>Addressable smoke detector with isolator</v>
      </c>
      <c r="C16" s="97"/>
      <c r="D16" s="20">
        <f>'SC_Loop 1'!D16</f>
        <v>1.9580000000000002E-4</v>
      </c>
      <c r="E16" s="57">
        <f>C16*D16</f>
        <v>0</v>
      </c>
      <c r="F16" s="200">
        <f t="shared" ref="F16:F22" si="1">IF(C16&gt;10,10,C16)</f>
        <v>0</v>
      </c>
      <c r="G16" s="20">
        <f>'SC_Loop 1'!G16</f>
        <v>3.7400000000000003E-3</v>
      </c>
      <c r="H16" s="57">
        <f>F16*G16</f>
        <v>0</v>
      </c>
      <c r="I16" s="49"/>
      <c r="J16" s="49" t="str">
        <f t="shared" si="0"/>
        <v xml:space="preserve"> </v>
      </c>
      <c r="K16" s="49"/>
      <c r="L16" s="49"/>
      <c r="M16" s="106" t="str">
        <f>IF(J16&lt;&gt;0,J16," ")</f>
        <v xml:space="preserve"> </v>
      </c>
    </row>
    <row r="17" spans="1:13" ht="25" x14ac:dyDescent="0.25">
      <c r="A17" s="115" t="str">
        <f>'SC_Loop 1'!A17</f>
        <v>DOTD-230A</v>
      </c>
      <c r="B17" s="208" t="str">
        <f>'SC_Loop 1'!B17</f>
        <v>Addressable smoke and heat detector</v>
      </c>
      <c r="C17" s="97"/>
      <c r="D17" s="20">
        <f>'SC_Loop 1'!D17</f>
        <v>1.416E-4</v>
      </c>
      <c r="E17" s="57">
        <f t="shared" ref="E17:E75" si="2">C17*D17</f>
        <v>0</v>
      </c>
      <c r="F17" s="200">
        <f t="shared" si="1"/>
        <v>0</v>
      </c>
      <c r="G17" s="20">
        <f>'SC_Loop 1'!G17</f>
        <v>3.6000000000000003E-3</v>
      </c>
      <c r="H17" s="57">
        <f t="shared" ref="H17:H75" si="3">F17*G17</f>
        <v>0</v>
      </c>
      <c r="I17" s="49"/>
      <c r="J17" s="49" t="str">
        <f t="shared" si="0"/>
        <v xml:space="preserve"> </v>
      </c>
      <c r="K17" s="49"/>
      <c r="L17" s="49"/>
      <c r="M17" s="106" t="str">
        <f t="shared" ref="M17:M70" si="4">IF(J17&lt;&gt;0,J17," ")</f>
        <v xml:space="preserve"> </v>
      </c>
    </row>
    <row r="18" spans="1:13" ht="37.5" x14ac:dyDescent="0.25">
      <c r="A18" s="115" t="str">
        <f>'SC_Loop 1'!A18</f>
        <v>DOTD-230A-I</v>
      </c>
      <c r="B18" s="208" t="str">
        <f>'SC_Loop 1'!B18</f>
        <v>Addressable smoke and heat detector with isolator</v>
      </c>
      <c r="C18" s="97"/>
      <c r="D18" s="20">
        <f>'SC_Loop 1'!D18</f>
        <v>2.1239999999999999E-4</v>
      </c>
      <c r="E18" s="57">
        <f t="shared" si="2"/>
        <v>0</v>
      </c>
      <c r="F18" s="200">
        <f t="shared" si="1"/>
        <v>0</v>
      </c>
      <c r="G18" s="20">
        <f>'SC_Loop 1'!G18</f>
        <v>3.7400000000000003E-3</v>
      </c>
      <c r="H18" s="57">
        <f t="shared" si="3"/>
        <v>0</v>
      </c>
      <c r="I18" s="49"/>
      <c r="J18" s="49" t="str">
        <f t="shared" si="0"/>
        <v xml:space="preserve"> </v>
      </c>
      <c r="K18" s="49"/>
      <c r="L18" s="49"/>
      <c r="M18" s="106" t="str">
        <f t="shared" si="4"/>
        <v xml:space="preserve"> </v>
      </c>
    </row>
    <row r="19" spans="1:13" ht="25" x14ac:dyDescent="0.25">
      <c r="A19" s="115" t="str">
        <f>'SC_Loop 1'!A19</f>
        <v>DTD-210A</v>
      </c>
      <c r="B19" s="208" t="str">
        <f>'SC_Loop 1'!B19</f>
        <v>Addressable heat detector</v>
      </c>
      <c r="C19" s="97"/>
      <c r="D19" s="20">
        <f>'SC_Loop 1'!D19</f>
        <v>1.2219999999999999E-4</v>
      </c>
      <c r="E19" s="57">
        <f t="shared" si="2"/>
        <v>0</v>
      </c>
      <c r="F19" s="200">
        <f t="shared" si="1"/>
        <v>0</v>
      </c>
      <c r="G19" s="20">
        <f>'SC_Loop 1'!G19</f>
        <v>3.64E-3</v>
      </c>
      <c r="H19" s="57">
        <f t="shared" si="3"/>
        <v>0</v>
      </c>
      <c r="I19" s="49"/>
      <c r="J19" s="49" t="str">
        <f t="shared" si="0"/>
        <v xml:space="preserve"> </v>
      </c>
      <c r="K19" s="49"/>
      <c r="L19" s="49"/>
      <c r="M19" s="106" t="str">
        <f t="shared" si="4"/>
        <v xml:space="preserve"> </v>
      </c>
    </row>
    <row r="20" spans="1:13" ht="25" x14ac:dyDescent="0.25">
      <c r="A20" s="115" t="str">
        <f>'SC_Loop 1'!A20</f>
        <v>DTD-210A-I</v>
      </c>
      <c r="B20" s="208" t="str">
        <f>'SC_Loop 1'!B20</f>
        <v>Addressable heat detector with isolator</v>
      </c>
      <c r="C20" s="97"/>
      <c r="D20" s="20">
        <f>'SC_Loop 1'!D20</f>
        <v>1.9239999999999999E-4</v>
      </c>
      <c r="E20" s="57">
        <f t="shared" si="2"/>
        <v>0</v>
      </c>
      <c r="F20" s="200">
        <f t="shared" si="1"/>
        <v>0</v>
      </c>
      <c r="G20" s="20">
        <f>'SC_Loop 1'!G20</f>
        <v>3.7599999999999999E-3</v>
      </c>
      <c r="H20" s="57">
        <f t="shared" si="3"/>
        <v>0</v>
      </c>
      <c r="I20" s="49"/>
      <c r="J20" s="49" t="str">
        <f t="shared" si="0"/>
        <v xml:space="preserve"> </v>
      </c>
      <c r="K20" s="49"/>
      <c r="L20" s="49"/>
      <c r="M20" s="106" t="str">
        <f t="shared" si="4"/>
        <v xml:space="preserve"> </v>
      </c>
    </row>
    <row r="21" spans="1:13" ht="25" x14ac:dyDescent="0.25">
      <c r="A21" s="115" t="str">
        <f>'SC_Loop 1'!A21</f>
        <v>DTD-215A</v>
      </c>
      <c r="B21" s="208" t="str">
        <f>'SC_Loop 1'!B21</f>
        <v>Addressable high temperature detector</v>
      </c>
      <c r="C21" s="97"/>
      <c r="D21" s="20">
        <f>'SC_Loop 1'!D21</f>
        <v>1.3369999999999997E-4</v>
      </c>
      <c r="E21" s="57">
        <f t="shared" si="2"/>
        <v>0</v>
      </c>
      <c r="F21" s="200">
        <f t="shared" si="1"/>
        <v>0</v>
      </c>
      <c r="G21" s="20">
        <f>'SC_Loop 1'!G21</f>
        <v>3.7799999999999999E-3</v>
      </c>
      <c r="H21" s="57">
        <f t="shared" si="3"/>
        <v>0</v>
      </c>
      <c r="I21" s="49"/>
      <c r="J21" s="49" t="str">
        <f t="shared" si="0"/>
        <v xml:space="preserve"> </v>
      </c>
      <c r="K21" s="49"/>
      <c r="L21" s="49"/>
      <c r="M21" s="106" t="str">
        <f t="shared" si="4"/>
        <v xml:space="preserve"> </v>
      </c>
    </row>
    <row r="22" spans="1:13" ht="37.5" x14ac:dyDescent="0.25">
      <c r="A22" s="115" t="str">
        <f>'SC_Loop 1'!A22</f>
        <v>DTD-215A-I</v>
      </c>
      <c r="B22" s="208" t="str">
        <f>'SC_Loop 1'!B22</f>
        <v>Addressable high temperature detector with isolator</v>
      </c>
      <c r="C22" s="97"/>
      <c r="D22" s="20">
        <f>'SC_Loop 1'!D22</f>
        <v>2.0349999999999999E-4</v>
      </c>
      <c r="E22" s="57">
        <f t="shared" si="2"/>
        <v>0</v>
      </c>
      <c r="F22" s="200">
        <f t="shared" si="1"/>
        <v>0</v>
      </c>
      <c r="G22" s="20">
        <f>'SC_Loop 1'!G22</f>
        <v>3.7699999999999999E-3</v>
      </c>
      <c r="H22" s="57">
        <f t="shared" si="3"/>
        <v>0</v>
      </c>
      <c r="I22" s="49"/>
      <c r="J22" s="49" t="str">
        <f t="shared" si="0"/>
        <v xml:space="preserve"> </v>
      </c>
      <c r="K22" s="49"/>
      <c r="L22" s="49"/>
      <c r="M22" s="106" t="str">
        <f t="shared" si="4"/>
        <v xml:space="preserve"> </v>
      </c>
    </row>
    <row r="23" spans="1:13" ht="25" x14ac:dyDescent="0.25">
      <c r="A23" s="115" t="str">
        <f>'SC_Loop 1'!A23</f>
        <v>DGD-600</v>
      </c>
      <c r="B23" s="208" t="str">
        <f>'SC_Loop 1'!B23</f>
        <v>Stand-alone natural gas detector (24V)</v>
      </c>
      <c r="C23" s="97"/>
      <c r="D23" s="20">
        <f>'SC_Loop 1'!D23</f>
        <v>2.1800000000000001E-3</v>
      </c>
      <c r="E23" s="57">
        <f t="shared" si="2"/>
        <v>0</v>
      </c>
      <c r="F23" s="200">
        <f>IF(C23&gt;10,10,C23)</f>
        <v>0</v>
      </c>
      <c r="G23" s="20">
        <f>'SC_Loop 1'!G23</f>
        <v>2.2200000000000002E-3</v>
      </c>
      <c r="H23" s="57">
        <f t="shared" si="3"/>
        <v>0</v>
      </c>
      <c r="I23" s="49"/>
      <c r="J23" s="49" t="str">
        <f t="shared" si="0"/>
        <v xml:space="preserve"> </v>
      </c>
      <c r="K23" s="49"/>
      <c r="L23" s="49"/>
      <c r="M23" s="106" t="str">
        <f t="shared" si="4"/>
        <v xml:space="preserve"> </v>
      </c>
    </row>
    <row r="24" spans="1:13" ht="25" x14ac:dyDescent="0.25">
      <c r="A24" s="115" t="str">
        <f>'SC_Loop 1'!A24</f>
        <v>DGD-600-AC</v>
      </c>
      <c r="B24" s="208" t="str">
        <f>'SC_Loop 1'!B24</f>
        <v>Stand-alone natural gas detector (230V)</v>
      </c>
      <c r="C24" s="97"/>
      <c r="D24" s="20">
        <f>'SC_Loop 1'!D24</f>
        <v>2.5999999999999999E-3</v>
      </c>
      <c r="E24" s="57">
        <f t="shared" si="2"/>
        <v>0</v>
      </c>
      <c r="F24" s="200">
        <f t="shared" ref="F24:F26" si="5">IF(C24&gt;10,10,C24)</f>
        <v>0</v>
      </c>
      <c r="G24" s="20">
        <f>'SC_Loop 1'!G24</f>
        <v>3.16E-3</v>
      </c>
      <c r="H24" s="57">
        <f t="shared" si="3"/>
        <v>0</v>
      </c>
      <c r="I24" s="49"/>
      <c r="J24" s="49" t="str">
        <f t="shared" si="0"/>
        <v xml:space="preserve"> </v>
      </c>
      <c r="K24" s="49"/>
      <c r="L24" s="49"/>
      <c r="M24" s="106" t="str">
        <f t="shared" si="4"/>
        <v xml:space="preserve"> </v>
      </c>
    </row>
    <row r="25" spans="1:13" ht="25" x14ac:dyDescent="0.25">
      <c r="A25" s="115" t="str">
        <f>'SC_Loop 1'!A25</f>
        <v>DGD-620</v>
      </c>
      <c r="B25" s="208" t="str">
        <f>'SC_Loop 1'!B25</f>
        <v>Stand-alone LPG detector (24V)</v>
      </c>
      <c r="C25" s="97"/>
      <c r="D25" s="20">
        <f>'SC_Loop 1'!D25</f>
        <v>2.1800000000000001E-3</v>
      </c>
      <c r="E25" s="57">
        <f t="shared" si="2"/>
        <v>0</v>
      </c>
      <c r="F25" s="200">
        <f t="shared" si="5"/>
        <v>0</v>
      </c>
      <c r="G25" s="20">
        <f>'SC_Loop 1'!G25</f>
        <v>2.2200000000000002E-3</v>
      </c>
      <c r="H25" s="57">
        <f t="shared" si="3"/>
        <v>0</v>
      </c>
      <c r="I25" s="49"/>
      <c r="J25" s="49" t="str">
        <f t="shared" si="0"/>
        <v xml:space="preserve"> </v>
      </c>
      <c r="K25" s="49"/>
      <c r="L25" s="49"/>
      <c r="M25" s="106" t="str">
        <f t="shared" si="4"/>
        <v xml:space="preserve"> </v>
      </c>
    </row>
    <row r="26" spans="1:13" ht="25" x14ac:dyDescent="0.25">
      <c r="A26" s="115" t="str">
        <f>'SC_Loop 1'!A26</f>
        <v>DGD-620-AC</v>
      </c>
      <c r="B26" s="208" t="str">
        <f>'SC_Loop 1'!B26</f>
        <v>Stand-alone LPG detector (230V)</v>
      </c>
      <c r="C26" s="97"/>
      <c r="D26" s="20">
        <f>'SC_Loop 1'!D26</f>
        <v>2.5999999999999999E-3</v>
      </c>
      <c r="E26" s="57">
        <f t="shared" si="2"/>
        <v>0</v>
      </c>
      <c r="F26" s="200">
        <f t="shared" si="5"/>
        <v>0</v>
      </c>
      <c r="G26" s="20">
        <f>'SC_Loop 1'!G26</f>
        <v>3.16E-3</v>
      </c>
      <c r="H26" s="57">
        <f t="shared" si="3"/>
        <v>0</v>
      </c>
      <c r="I26" s="49"/>
      <c r="J26" s="49" t="str">
        <f t="shared" si="0"/>
        <v xml:space="preserve"> </v>
      </c>
      <c r="K26" s="49"/>
      <c r="L26" s="49"/>
      <c r="M26" s="106" t="str">
        <f t="shared" si="4"/>
        <v xml:space="preserve"> </v>
      </c>
    </row>
    <row r="27" spans="1:13" ht="25" x14ac:dyDescent="0.25">
      <c r="A27" s="115" t="str">
        <f>'SC_Loop 1'!A27</f>
        <v>DBD-70A</v>
      </c>
      <c r="B27" s="208" t="str">
        <f>'SC_Loop 1'!B27</f>
        <v>Addressable lineal smoke detector</v>
      </c>
      <c r="C27" s="97"/>
      <c r="D27" s="20">
        <f>'SC_Loop 1'!D27</f>
        <v>3.7999999999999999E-2</v>
      </c>
      <c r="E27" s="57">
        <f t="shared" si="2"/>
        <v>0</v>
      </c>
      <c r="F27" s="200">
        <f>C27</f>
        <v>0</v>
      </c>
      <c r="G27" s="20">
        <f>'SC_Loop 1'!G27</f>
        <v>3.7999999999999999E-2</v>
      </c>
      <c r="H27" s="57">
        <f t="shared" si="3"/>
        <v>0</v>
      </c>
      <c r="I27" s="49"/>
      <c r="J27" s="49" t="str">
        <f t="shared" si="0"/>
        <v xml:space="preserve"> </v>
      </c>
      <c r="K27" s="49"/>
      <c r="L27" s="49"/>
      <c r="M27" s="106" t="str">
        <f t="shared" si="4"/>
        <v xml:space="preserve"> </v>
      </c>
    </row>
    <row r="28" spans="1:13" ht="25" x14ac:dyDescent="0.25">
      <c r="A28" s="115" t="str">
        <f>'SC_Loop 1'!A28</f>
        <v>MAD-401 &amp; MAD-401-I</v>
      </c>
      <c r="B28" s="208" t="str">
        <f>'SC_Loop 1'!B28</f>
        <v>1 output addressable module</v>
      </c>
      <c r="C28" s="97"/>
      <c r="D28" s="20">
        <f>'SC_Loop 1'!D28</f>
        <v>2.1680000000000001E-4</v>
      </c>
      <c r="E28" s="57">
        <f t="shared" si="2"/>
        <v>0</v>
      </c>
      <c r="F28" s="199">
        <f>C28*'System Calculation'!$I$14</f>
        <v>0</v>
      </c>
      <c r="G28" s="20">
        <f>'SC_Loop 1'!G28</f>
        <v>3.0600000000000002E-3</v>
      </c>
      <c r="H28" s="57">
        <f t="shared" si="3"/>
        <v>0</v>
      </c>
      <c r="I28" s="49"/>
      <c r="J28" s="49"/>
      <c r="K28" s="49" t="str">
        <f>IF(C28&lt;&gt;0,C28," ")</f>
        <v xml:space="preserve"> </v>
      </c>
      <c r="L28" s="49"/>
      <c r="M28" s="106" t="str">
        <f>IF(K28&lt;&gt;0,K28," ")</f>
        <v xml:space="preserve"> </v>
      </c>
    </row>
    <row r="29" spans="1:13" ht="25" x14ac:dyDescent="0.25">
      <c r="A29" s="115" t="str">
        <f>'SC_Loop 1'!A29</f>
        <v>MAD-402 &amp; MAD-402-I</v>
      </c>
      <c r="B29" s="208" t="str">
        <f>'SC_Loop 1'!B29</f>
        <v>2 outputs addressable module</v>
      </c>
      <c r="C29" s="97"/>
      <c r="D29" s="20">
        <f>'SC_Loop 1'!D29</f>
        <v>2.174E-4</v>
      </c>
      <c r="E29" s="57">
        <f t="shared" si="2"/>
        <v>0</v>
      </c>
      <c r="F29" s="199">
        <f>C29*'System Calculation'!$I$14</f>
        <v>0</v>
      </c>
      <c r="G29" s="20">
        <f>'SC_Loop 1'!G29</f>
        <v>5.9500000000000004E-3</v>
      </c>
      <c r="H29" s="57">
        <f t="shared" si="3"/>
        <v>0</v>
      </c>
      <c r="I29" s="49"/>
      <c r="J29" s="49"/>
      <c r="K29" s="49">
        <f>IF(C29&lt;&gt;0,C29,0)</f>
        <v>0</v>
      </c>
      <c r="L29" s="49"/>
      <c r="M29" s="106" t="str">
        <f>IF(K29&lt;&gt;0,K29*2," ")</f>
        <v xml:space="preserve"> </v>
      </c>
    </row>
    <row r="30" spans="1:13" ht="25" x14ac:dyDescent="0.25">
      <c r="A30" s="115" t="str">
        <f>'SC_Loop 1'!A30</f>
        <v>MAD-405-I</v>
      </c>
      <c r="B30" s="208" t="str">
        <f>'SC_Loop 1'!B30</f>
        <v>5 outputs addressable module</v>
      </c>
      <c r="C30" s="97"/>
      <c r="D30" s="20">
        <f>'SC_Loop 1'!D30</f>
        <v>2.786E-4</v>
      </c>
      <c r="E30" s="57">
        <f t="shared" si="2"/>
        <v>0</v>
      </c>
      <c r="F30" s="199">
        <f>C30*'System Calculation'!$I$14</f>
        <v>0</v>
      </c>
      <c r="G30" s="20">
        <f>'SC_Loop 1'!G30</f>
        <v>3.15E-3</v>
      </c>
      <c r="H30" s="57">
        <f t="shared" si="3"/>
        <v>0</v>
      </c>
      <c r="I30" s="49"/>
      <c r="J30" s="49"/>
      <c r="K30" s="49">
        <f>IF(C30&lt;&gt;0,C30,0)</f>
        <v>0</v>
      </c>
      <c r="L30" s="49"/>
      <c r="M30" s="106" t="str">
        <f>IF(K30&lt;&gt;0,K30*5," ")</f>
        <v xml:space="preserve"> </v>
      </c>
    </row>
    <row r="31" spans="1:13" ht="25" x14ac:dyDescent="0.25">
      <c r="A31" s="115" t="str">
        <f>'SC_Loop 1'!A31</f>
        <v>MAD-409-I</v>
      </c>
      <c r="B31" s="208" t="str">
        <f>'SC_Loop 1'!B31</f>
        <v>10 outputs addressable module</v>
      </c>
      <c r="C31" s="97"/>
      <c r="D31" s="20">
        <f>'SC_Loop 1'!D31</f>
        <v>3.6769999999999999E-4</v>
      </c>
      <c r="E31" s="57">
        <f t="shared" si="2"/>
        <v>0</v>
      </c>
      <c r="F31" s="199">
        <f>C31*'System Calculation'!$I$14</f>
        <v>0</v>
      </c>
      <c r="G31" s="20">
        <f>'SC_Loop 1'!G31</f>
        <v>3.3E-3</v>
      </c>
      <c r="H31" s="57">
        <f t="shared" si="3"/>
        <v>0</v>
      </c>
      <c r="I31" s="49"/>
      <c r="J31" s="49"/>
      <c r="K31" s="49"/>
      <c r="L31" s="49"/>
      <c r="M31" s="106" t="str">
        <f>IF(K31&lt;&gt;0,K31*10," ")</f>
        <v xml:space="preserve"> </v>
      </c>
    </row>
    <row r="32" spans="1:13" ht="25" x14ac:dyDescent="0.25">
      <c r="A32" s="115" t="str">
        <f>'SC_Loop 1'!A32</f>
        <v>MAD-411 &amp; MAD-411-I</v>
      </c>
      <c r="B32" s="208" t="str">
        <f>'SC_Loop 1'!B32</f>
        <v>1 input addressable module</v>
      </c>
      <c r="C32" s="97"/>
      <c r="D32" s="20">
        <f>'SC_Loop 1'!D32</f>
        <v>1.916E-4</v>
      </c>
      <c r="E32" s="57">
        <f t="shared" si="2"/>
        <v>0</v>
      </c>
      <c r="F32" s="199">
        <f>C32*'System Calculation'!$I$14</f>
        <v>0</v>
      </c>
      <c r="G32" s="20">
        <f>'SC_Loop 1'!G32</f>
        <v>3.0600000000000002E-3</v>
      </c>
      <c r="H32" s="57">
        <f t="shared" si="3"/>
        <v>0</v>
      </c>
      <c r="I32" s="49"/>
      <c r="J32" s="49"/>
      <c r="K32" s="49" t="str">
        <f>IF(C32&lt;&gt;0,C32," ")</f>
        <v xml:space="preserve"> </v>
      </c>
      <c r="L32" s="49"/>
      <c r="M32" s="106" t="str">
        <f t="shared" ref="M32" si="6">IF(K32&lt;&gt;0,K32," ")</f>
        <v xml:space="preserve"> </v>
      </c>
    </row>
    <row r="33" spans="1:15" ht="25" x14ac:dyDescent="0.25">
      <c r="A33" s="115" t="str">
        <f>'SC_Loop 1'!A33</f>
        <v>MAD-412 &amp; MAD-412-I</v>
      </c>
      <c r="B33" s="208" t="str">
        <f>'SC_Loop 1'!B33</f>
        <v>2 inputs addressable module</v>
      </c>
      <c r="C33" s="97"/>
      <c r="D33" s="20">
        <f>'SC_Loop 1'!D33</f>
        <v>1.9099999999999998E-4</v>
      </c>
      <c r="E33" s="57">
        <f t="shared" si="2"/>
        <v>0</v>
      </c>
      <c r="F33" s="199">
        <f>C33*'System Calculation'!$I$14</f>
        <v>0</v>
      </c>
      <c r="G33" s="20">
        <f>'SC_Loop 1'!G33</f>
        <v>5.8399999999999997E-3</v>
      </c>
      <c r="H33" s="57">
        <f t="shared" si="3"/>
        <v>0</v>
      </c>
      <c r="I33" s="49"/>
      <c r="J33" s="49"/>
      <c r="K33" s="49">
        <f t="shared" ref="K33:K39" si="7">IF(C33&lt;&gt;0,C33,0)</f>
        <v>0</v>
      </c>
      <c r="L33" s="49"/>
      <c r="M33" s="106" t="str">
        <f>IF(K33&lt;&gt;0,K33*2," ")</f>
        <v xml:space="preserve"> </v>
      </c>
    </row>
    <row r="34" spans="1:15" ht="25" x14ac:dyDescent="0.25">
      <c r="A34" s="115" t="str">
        <f>'SC_Loop 1'!A34</f>
        <v>MAD-415-I</v>
      </c>
      <c r="B34" s="208" t="str">
        <f>'SC_Loop 1'!B34</f>
        <v>5 inputs addressable module</v>
      </c>
      <c r="C34" s="97"/>
      <c r="D34" s="20">
        <f>'SC_Loop 1'!D34</f>
        <v>1.8880000000000001E-4</v>
      </c>
      <c r="E34" s="57">
        <f t="shared" si="2"/>
        <v>0</v>
      </c>
      <c r="F34" s="199">
        <f>C34*'System Calculation'!$I$14</f>
        <v>0</v>
      </c>
      <c r="G34" s="20">
        <f>'SC_Loop 1'!G34</f>
        <v>3.9500000000000004E-3</v>
      </c>
      <c r="H34" s="57">
        <f t="shared" si="3"/>
        <v>0</v>
      </c>
      <c r="I34" s="49"/>
      <c r="J34" s="49"/>
      <c r="K34" s="49">
        <f t="shared" si="7"/>
        <v>0</v>
      </c>
      <c r="L34" s="49"/>
      <c r="M34" s="106" t="str">
        <f>IF(KJ34&lt;&gt;0,K34*5," ")</f>
        <v xml:space="preserve"> </v>
      </c>
      <c r="O34" s="13" t="str">
        <f t="shared" ref="O34" si="8">IF(AND(C34&gt;0),"Info: External 24V needed. Control Panel could provide from 24Vaux, if 500mA maximum current isn't exceeded."," ")</f>
        <v xml:space="preserve"> </v>
      </c>
    </row>
    <row r="35" spans="1:15" ht="25" x14ac:dyDescent="0.25">
      <c r="A35" s="115" t="str">
        <f>'SC_Loop 1'!A35</f>
        <v>MAD-419-I</v>
      </c>
      <c r="B35" s="208" t="str">
        <f>'SC_Loop 1'!B35</f>
        <v>10 inputs addressable module</v>
      </c>
      <c r="C35" s="97"/>
      <c r="D35" s="20">
        <f>'SC_Loop 1'!D35</f>
        <v>1.8919999999999999E-4</v>
      </c>
      <c r="E35" s="57">
        <f t="shared" si="2"/>
        <v>0</v>
      </c>
      <c r="F35" s="199">
        <f>C35*'System Calculation'!$I$14</f>
        <v>0</v>
      </c>
      <c r="G35" s="20">
        <f>'SC_Loop 1'!G35</f>
        <v>4.8399999999999997E-3</v>
      </c>
      <c r="H35" s="57">
        <f t="shared" si="3"/>
        <v>0</v>
      </c>
      <c r="I35" s="49"/>
      <c r="J35" s="49"/>
      <c r="K35" s="49">
        <f t="shared" si="7"/>
        <v>0</v>
      </c>
      <c r="L35" s="49"/>
      <c r="M35" s="106" t="str">
        <f>IF(K35&lt;&gt;0,K35*10," ")</f>
        <v xml:space="preserve"> </v>
      </c>
      <c r="O35" s="13" t="str">
        <f>IF(AND(C33&gt;0),"Info: External 24V needed. Control Panel could provide from 24Vaux, if 500mA maximum current isn't exceeded."," ")</f>
        <v xml:space="preserve"> </v>
      </c>
    </row>
    <row r="36" spans="1:15" ht="25" x14ac:dyDescent="0.25">
      <c r="A36" s="115" t="str">
        <f>'SC_Loop 1'!A36</f>
        <v>MAD-421 &amp; MAD-421-I</v>
      </c>
      <c r="B36" s="208" t="str">
        <f>'SC_Loop 1'!B36</f>
        <v>1 output/1 input addressable module</v>
      </c>
      <c r="C36" s="97"/>
      <c r="D36" s="20">
        <f>'SC_Loop 1'!D36</f>
        <v>2.1009999999999998E-4</v>
      </c>
      <c r="E36" s="57">
        <f t="shared" si="2"/>
        <v>0</v>
      </c>
      <c r="F36" s="199">
        <f>C36*'System Calculation'!$I$14</f>
        <v>0</v>
      </c>
      <c r="G36" s="20">
        <f>'SC_Loop 1'!G36</f>
        <v>5.9199999999999999E-3</v>
      </c>
      <c r="H36" s="57">
        <f t="shared" si="3"/>
        <v>0</v>
      </c>
      <c r="I36" s="49"/>
      <c r="J36" s="49"/>
      <c r="K36" s="49">
        <f t="shared" si="7"/>
        <v>0</v>
      </c>
      <c r="L36" s="49"/>
      <c r="M36" s="106" t="str">
        <f>IF(K36&lt;&gt;0,K36*2," ")</f>
        <v xml:space="preserve"> </v>
      </c>
      <c r="O36" s="13"/>
    </row>
    <row r="37" spans="1:15" ht="25" x14ac:dyDescent="0.25">
      <c r="A37" s="115" t="str">
        <f>'SC_Loop 1'!A37</f>
        <v>MAD-422 &amp; MAD-422-I</v>
      </c>
      <c r="B37" s="208" t="str">
        <f>'SC_Loop 1'!B37</f>
        <v>2 outputs/2 inputs addressable module</v>
      </c>
      <c r="C37" s="97"/>
      <c r="D37" s="20">
        <f>'SC_Loop 1'!D37</f>
        <v>2.34E-4</v>
      </c>
      <c r="E37" s="57">
        <f t="shared" si="2"/>
        <v>0</v>
      </c>
      <c r="F37" s="199">
        <f>C37*'System Calculation'!$I$14</f>
        <v>0</v>
      </c>
      <c r="G37" s="20">
        <f>'SC_Loop 1'!G37</f>
        <v>5.9100000000000003E-3</v>
      </c>
      <c r="H37" s="57">
        <f t="shared" si="3"/>
        <v>0</v>
      </c>
      <c r="I37" s="49"/>
      <c r="J37" s="49"/>
      <c r="K37" s="49">
        <f t="shared" si="7"/>
        <v>0</v>
      </c>
      <c r="L37" s="49"/>
      <c r="M37" s="106" t="str">
        <f>IF(K37&lt;&gt;0,K37*4," ")</f>
        <v xml:space="preserve"> </v>
      </c>
      <c r="O37" s="13"/>
    </row>
    <row r="38" spans="1:15" ht="25" x14ac:dyDescent="0.25">
      <c r="A38" s="115" t="str">
        <f>'SC_Loop 1'!A38</f>
        <v>MAD-425-I</v>
      </c>
      <c r="B38" s="208" t="str">
        <f>'SC_Loop 1'!B38</f>
        <v>5 outputs/5 inputs addressable module</v>
      </c>
      <c r="C38" s="97"/>
      <c r="D38" s="20">
        <f>'SC_Loop 1'!D38</f>
        <v>2.8399999999999996E-4</v>
      </c>
      <c r="E38" s="57">
        <f t="shared" si="2"/>
        <v>0</v>
      </c>
      <c r="F38" s="199">
        <f>C38*'System Calculation'!$I$14</f>
        <v>0</v>
      </c>
      <c r="G38" s="20">
        <f>'SC_Loop 1'!G38</f>
        <v>4.0800000000000003E-3</v>
      </c>
      <c r="H38" s="57">
        <f t="shared" si="3"/>
        <v>0</v>
      </c>
      <c r="I38" s="49"/>
      <c r="J38" s="49"/>
      <c r="K38" s="49">
        <f t="shared" si="7"/>
        <v>0</v>
      </c>
      <c r="L38" s="49"/>
      <c r="M38" s="106" t="str">
        <f>IF(K38&lt;&gt;0,K38*10," ")</f>
        <v xml:space="preserve"> </v>
      </c>
      <c r="O38" s="13" t="str">
        <f t="shared" ref="O38:O43" si="9">IF(AND(C38&gt;0),"Info: External 24V needed. Control Panel could provide from 24Vaux, if 500mA maximum current isn't exceeded."," ")</f>
        <v xml:space="preserve"> </v>
      </c>
    </row>
    <row r="39" spans="1:15" ht="25" x14ac:dyDescent="0.25">
      <c r="A39" s="115" t="str">
        <f>'SC_Loop 1'!A39</f>
        <v>MAD-429-I</v>
      </c>
      <c r="B39" s="208" t="str">
        <f>'SC_Loop 1'!B39</f>
        <v>10 outputs/10 inputs addressable module</v>
      </c>
      <c r="C39" s="97"/>
      <c r="D39" s="20">
        <f>'SC_Loop 1'!D39</f>
        <v>3.7659999999999999E-4</v>
      </c>
      <c r="E39" s="57">
        <f t="shared" si="2"/>
        <v>0</v>
      </c>
      <c r="F39" s="199">
        <f>C39*'System Calculation'!$I$14</f>
        <v>0</v>
      </c>
      <c r="G39" s="20">
        <f>'SC_Loop 1'!G39</f>
        <v>5.0000000000000001E-3</v>
      </c>
      <c r="H39" s="57">
        <f t="shared" si="3"/>
        <v>0</v>
      </c>
      <c r="I39" s="49"/>
      <c r="J39" s="49"/>
      <c r="K39" s="49">
        <f t="shared" si="7"/>
        <v>0</v>
      </c>
      <c r="L39" s="49"/>
      <c r="M39" s="106" t="str">
        <f>IF(K39&lt;&gt;0,K39*20," ")</f>
        <v xml:space="preserve"> </v>
      </c>
      <c r="O39" s="13" t="str">
        <f t="shared" si="9"/>
        <v xml:space="preserve"> </v>
      </c>
    </row>
    <row r="40" spans="1:15" ht="25" x14ac:dyDescent="0.25">
      <c r="A40" s="115" t="str">
        <f>'SC_Loop 1'!A40</f>
        <v>MAD-431 &amp; MAD-431-I</v>
      </c>
      <c r="B40" s="208" t="str">
        <f>'SC_Loop 1'!B40</f>
        <v>1 output 24V addressable module</v>
      </c>
      <c r="C40" s="97"/>
      <c r="D40" s="20">
        <f>'SC_Loop 1'!D40</f>
        <v>2.1499999999999999E-4</v>
      </c>
      <c r="E40" s="57">
        <f t="shared" si="2"/>
        <v>0</v>
      </c>
      <c r="F40" s="199">
        <f>C40*'System Calculation'!$I$14</f>
        <v>0</v>
      </c>
      <c r="G40" s="20">
        <f>'SC_Loop 1'!G40</f>
        <v>3.6099999999999999E-3</v>
      </c>
      <c r="H40" s="57">
        <f t="shared" si="3"/>
        <v>0</v>
      </c>
      <c r="I40" s="49"/>
      <c r="J40" s="49"/>
      <c r="K40" s="49" t="str">
        <f>IF(C40&lt;&gt;0,C40," ")</f>
        <v xml:space="preserve"> </v>
      </c>
      <c r="L40" s="49"/>
      <c r="M40" s="106" t="str">
        <f>IF(K40&lt;&gt;0,K40," ")</f>
        <v xml:space="preserve"> </v>
      </c>
      <c r="O40" s="13" t="str">
        <f t="shared" si="9"/>
        <v xml:space="preserve"> </v>
      </c>
    </row>
    <row r="41" spans="1:15" ht="25" x14ac:dyDescent="0.25">
      <c r="A41" s="115" t="str">
        <f>'SC_Loop 1'!A41</f>
        <v>MAD-432 &amp; MAD-432-I</v>
      </c>
      <c r="B41" s="208" t="str">
        <f>'SC_Loop 1'!B41</f>
        <v>2 outputs 24V addressable module</v>
      </c>
      <c r="C41" s="97"/>
      <c r="D41" s="20">
        <f>'SC_Loop 1'!D41</f>
        <v>2.0330000000000001E-4</v>
      </c>
      <c r="E41" s="57">
        <f t="shared" si="2"/>
        <v>0</v>
      </c>
      <c r="F41" s="199">
        <f>C41*'System Calculation'!$I$14</f>
        <v>0</v>
      </c>
      <c r="G41" s="20">
        <f>'SC_Loop 1'!G41</f>
        <v>6.7999999999999996E-3</v>
      </c>
      <c r="H41" s="57">
        <f t="shared" si="3"/>
        <v>0</v>
      </c>
      <c r="I41" s="49"/>
      <c r="J41" s="49"/>
      <c r="K41" s="49" t="str">
        <f t="shared" ref="K41:K43" si="10">IF(C41&lt;&gt;0,C41," ")</f>
        <v xml:space="preserve"> </v>
      </c>
      <c r="L41" s="49"/>
      <c r="M41" s="106" t="str">
        <f>IF(K41&lt;&gt;0,K41," ")</f>
        <v xml:space="preserve"> </v>
      </c>
      <c r="O41" s="13" t="str">
        <f t="shared" si="9"/>
        <v xml:space="preserve"> </v>
      </c>
    </row>
    <row r="42" spans="1:15" ht="25" x14ac:dyDescent="0.25">
      <c r="A42" s="115" t="str">
        <f>'SC_Loop 1'!A42</f>
        <v>MAD-441 &amp; MAD-441-I</v>
      </c>
      <c r="B42" s="208" t="str">
        <f>'SC_Loop 1'!B42</f>
        <v>1 conventional zone addressable module</v>
      </c>
      <c r="C42" s="97"/>
      <c r="D42" s="20">
        <f>'SC_Loop 1'!D42</f>
        <v>1.8780000000000001E-4</v>
      </c>
      <c r="E42" s="57">
        <f t="shared" si="2"/>
        <v>0</v>
      </c>
      <c r="F42" s="199">
        <f>C42*'System Calculation'!$I$14</f>
        <v>0</v>
      </c>
      <c r="G42" s="20">
        <f>'SC_Loop 1'!G42</f>
        <v>3.0400000000000002E-3</v>
      </c>
      <c r="H42" s="57">
        <f t="shared" si="3"/>
        <v>0</v>
      </c>
      <c r="I42" s="49"/>
      <c r="J42" s="49"/>
      <c r="K42" s="49" t="str">
        <f t="shared" si="10"/>
        <v xml:space="preserve"> </v>
      </c>
      <c r="L42" s="49"/>
      <c r="M42" s="106" t="str">
        <f t="shared" ref="M42:M43" si="11">IF(K42&lt;&gt;0,K42," ")</f>
        <v xml:space="preserve"> </v>
      </c>
      <c r="O42" s="13" t="str">
        <f t="shared" si="9"/>
        <v xml:space="preserve"> </v>
      </c>
    </row>
    <row r="43" spans="1:15" ht="25" x14ac:dyDescent="0.25">
      <c r="A43" s="115" t="str">
        <f>'SC_Loop 1'!A43</f>
        <v>MAD-442 &amp; MAD-442-I</v>
      </c>
      <c r="B43" s="208" t="str">
        <f>'SC_Loop 1'!B43</f>
        <v>2 conventionals zones addressable module</v>
      </c>
      <c r="C43" s="97"/>
      <c r="D43" s="20">
        <f>'SC_Loop 1'!D43</f>
        <v>1.8780000000000001E-4</v>
      </c>
      <c r="E43" s="57">
        <f t="shared" si="2"/>
        <v>0</v>
      </c>
      <c r="F43" s="199">
        <f>C43*'System Calculation'!$I$14</f>
        <v>0</v>
      </c>
      <c r="G43" s="20">
        <f>'SC_Loop 1'!G43</f>
        <v>5.8399999999999997E-3</v>
      </c>
      <c r="H43" s="57">
        <f t="shared" si="3"/>
        <v>0</v>
      </c>
      <c r="I43" s="49"/>
      <c r="J43" s="49"/>
      <c r="K43" s="49" t="str">
        <f t="shared" si="10"/>
        <v xml:space="preserve"> </v>
      </c>
      <c r="L43" s="49"/>
      <c r="M43" s="106" t="str">
        <f t="shared" si="11"/>
        <v xml:space="preserve"> </v>
      </c>
      <c r="O43" s="13" t="str">
        <f t="shared" si="9"/>
        <v xml:space="preserve"> </v>
      </c>
    </row>
    <row r="44" spans="1:15" ht="25" x14ac:dyDescent="0.25">
      <c r="A44" s="115" t="str">
        <f>'SC_Loop 1'!A44</f>
        <v>MAD-450 &amp; MAD-450-I</v>
      </c>
      <c r="B44" s="208" t="str">
        <f>'SC_Loop 1'!B44</f>
        <v>Addressable manual call point with isolator</v>
      </c>
      <c r="C44" s="97"/>
      <c r="D44" s="20">
        <f>'SC_Loop 1'!D44</f>
        <v>1.7659999999999998E-4</v>
      </c>
      <c r="E44" s="57">
        <f t="shared" si="2"/>
        <v>0</v>
      </c>
      <c r="F44" s="199">
        <f>C44*'System Calculation'!$I$12</f>
        <v>0</v>
      </c>
      <c r="G44" s="20">
        <f>'SC_Loop 1'!G44</f>
        <v>3.0299999999999997E-3</v>
      </c>
      <c r="H44" s="57">
        <f t="shared" si="3"/>
        <v>0</v>
      </c>
      <c r="I44" s="49"/>
      <c r="J44" s="49" t="str">
        <f t="shared" ref="J44:J45" si="12">IF(C44&lt;&gt;0,C44," ")</f>
        <v xml:space="preserve"> </v>
      </c>
      <c r="K44" s="49"/>
      <c r="L44" s="49"/>
      <c r="M44" s="106" t="str">
        <f t="shared" si="4"/>
        <v xml:space="preserve"> </v>
      </c>
    </row>
    <row r="45" spans="1:15" ht="25" x14ac:dyDescent="0.25">
      <c r="A45" s="115" t="str">
        <f>'SC_Loop 1'!A45</f>
        <v>MAD-451-I</v>
      </c>
      <c r="B45" s="208" t="str">
        <f>'SC_Loop 1'!B45</f>
        <v>Addressable manual call point with isolator</v>
      </c>
      <c r="C45" s="97"/>
      <c r="D45" s="20">
        <f>'SC_Loop 1'!D45</f>
        <v>1.774E-4</v>
      </c>
      <c r="E45" s="57">
        <f t="shared" si="2"/>
        <v>0</v>
      </c>
      <c r="F45" s="199">
        <f>C45*'System Calculation'!$I$12</f>
        <v>0</v>
      </c>
      <c r="G45" s="20">
        <f>'SC_Loop 1'!G45</f>
        <v>3.0000000000000001E-3</v>
      </c>
      <c r="H45" s="57">
        <f t="shared" si="3"/>
        <v>0</v>
      </c>
      <c r="I45" s="49"/>
      <c r="J45" s="49" t="str">
        <f t="shared" si="12"/>
        <v xml:space="preserve"> </v>
      </c>
      <c r="K45" s="49"/>
      <c r="L45" s="49"/>
      <c r="M45" s="106" t="str">
        <f t="shared" si="4"/>
        <v xml:space="preserve"> </v>
      </c>
    </row>
    <row r="46" spans="1:15" ht="25" x14ac:dyDescent="0.25">
      <c r="A46" s="115" t="str">
        <f>'SC_Loop 1'!A46</f>
        <v>MAD-461-I</v>
      </c>
      <c r="B46" s="208" t="str">
        <f>'SC_Loop 1'!B46</f>
        <v>Addressable sounder with isolator</v>
      </c>
      <c r="C46" s="97"/>
      <c r="D46" s="20">
        <f>'SC_Loop 1'!D46</f>
        <v>1.7689999999999999E-4</v>
      </c>
      <c r="E46" s="57">
        <f t="shared" si="2"/>
        <v>0</v>
      </c>
      <c r="F46" s="199">
        <f>C46*'System Calculation'!$I$13</f>
        <v>0</v>
      </c>
      <c r="G46" s="20">
        <f>'SC_Loop 1'!G46</f>
        <v>8.3499999999999998E-3</v>
      </c>
      <c r="H46" s="57">
        <f>F46*G46</f>
        <v>0</v>
      </c>
      <c r="I46" s="49" t="str">
        <f>IF(C46*H46=0," ",H46)</f>
        <v xml:space="preserve"> </v>
      </c>
      <c r="J46" s="49"/>
      <c r="K46" s="49"/>
      <c r="L46" s="49" t="str">
        <f t="shared" ref="L46:L66" si="13">IF(C46&lt;&gt;0,C46," ")</f>
        <v xml:space="preserve"> </v>
      </c>
      <c r="M46" s="106" t="str">
        <f>IF(L46&lt;&gt;0,L46," ")</f>
        <v xml:space="preserve"> </v>
      </c>
    </row>
    <row r="47" spans="1:15" ht="25" x14ac:dyDescent="0.25">
      <c r="A47" s="115" t="str">
        <f>'SC_Loop 1'!A47</f>
        <v>MAD-464-I Low Volume (78 dB)</v>
      </c>
      <c r="B47" s="208" t="str">
        <f>'SC_Loop 1'!B47</f>
        <v>Addressable sounder with isolator</v>
      </c>
      <c r="C47" s="97"/>
      <c r="D47" s="20">
        <f>'SC_Loop 1'!D47</f>
        <v>1.7649999999999998E-4</v>
      </c>
      <c r="E47" s="57">
        <f t="shared" si="2"/>
        <v>0</v>
      </c>
      <c r="F47" s="199">
        <f>C47*'System Calculation'!$I$13</f>
        <v>0</v>
      </c>
      <c r="G47" s="20">
        <f>'SC_Loop 1'!G47</f>
        <v>1.2320000000000001E-2</v>
      </c>
      <c r="H47" s="57">
        <f t="shared" si="3"/>
        <v>0</v>
      </c>
      <c r="I47" s="49" t="str">
        <f t="shared" ref="I47:I66" si="14">IF(C47*H47=0," ",H47)</f>
        <v xml:space="preserve"> </v>
      </c>
      <c r="J47" s="49"/>
      <c r="K47" s="49"/>
      <c r="L47" s="49" t="str">
        <f t="shared" si="13"/>
        <v xml:space="preserve"> </v>
      </c>
      <c r="M47" s="106" t="str">
        <f t="shared" ref="M47:M66" si="15">IF(L47&lt;&gt;0,L47," ")</f>
        <v xml:space="preserve"> </v>
      </c>
    </row>
    <row r="48" spans="1:15" ht="25" x14ac:dyDescent="0.25">
      <c r="A48" s="115" t="str">
        <f>'SC_Loop 1'!A48</f>
        <v>MAD-464-I Medium Volume (93 dB)</v>
      </c>
      <c r="B48" s="208" t="str">
        <f>'SC_Loop 1'!B48</f>
        <v>Addressable sounder with isolator</v>
      </c>
      <c r="C48" s="97"/>
      <c r="D48" s="20">
        <f>'SC_Loop 1'!D48</f>
        <v>1.7649999999999998E-4</v>
      </c>
      <c r="E48" s="57">
        <f t="shared" si="2"/>
        <v>0</v>
      </c>
      <c r="F48" s="199">
        <f>C48*'System Calculation'!$I$13</f>
        <v>0</v>
      </c>
      <c r="G48" s="20">
        <f>'SC_Loop 1'!G48</f>
        <v>1.2320000000000001E-2</v>
      </c>
      <c r="H48" s="57">
        <f t="shared" si="3"/>
        <v>0</v>
      </c>
      <c r="I48" s="49" t="str">
        <f t="shared" si="14"/>
        <v xml:space="preserve"> </v>
      </c>
      <c r="J48" s="49"/>
      <c r="K48" s="49"/>
      <c r="L48" s="49" t="str">
        <f t="shared" si="13"/>
        <v xml:space="preserve"> </v>
      </c>
      <c r="M48" s="106" t="str">
        <f t="shared" si="15"/>
        <v xml:space="preserve"> </v>
      </c>
    </row>
    <row r="49" spans="1:15" ht="25" x14ac:dyDescent="0.25">
      <c r="A49" s="115" t="str">
        <f>'SC_Loop 1'!A49</f>
        <v>MAD-464-I High Volume (97 dB)</v>
      </c>
      <c r="B49" s="208" t="str">
        <f>'SC_Loop 1'!B49</f>
        <v>Addressable sounder with isolator</v>
      </c>
      <c r="C49" s="97"/>
      <c r="D49" s="20">
        <f>'SC_Loop 1'!D49</f>
        <v>1.7649999999999998E-4</v>
      </c>
      <c r="E49" s="57">
        <f t="shared" si="2"/>
        <v>0</v>
      </c>
      <c r="F49" s="199">
        <f>C49*'System Calculation'!$I$13</f>
        <v>0</v>
      </c>
      <c r="G49" s="20">
        <f>'SC_Loop 1'!G49</f>
        <v>1.2320000000000001E-2</v>
      </c>
      <c r="H49" s="57">
        <f t="shared" si="3"/>
        <v>0</v>
      </c>
      <c r="I49" s="49" t="str">
        <f t="shared" si="14"/>
        <v xml:space="preserve"> </v>
      </c>
      <c r="J49" s="49"/>
      <c r="K49" s="49"/>
      <c r="L49" s="49" t="str">
        <f t="shared" si="13"/>
        <v xml:space="preserve"> </v>
      </c>
      <c r="M49" s="106" t="str">
        <f t="shared" si="15"/>
        <v xml:space="preserve"> </v>
      </c>
    </row>
    <row r="50" spans="1:15" ht="37.5" x14ac:dyDescent="0.25">
      <c r="A50" s="115" t="str">
        <f>'SC_Loop 1'!A50</f>
        <v>MAD-465-I Low Volume (78 dB)</v>
      </c>
      <c r="B50" s="208" t="str">
        <f>'SC_Loop 1'!B50</f>
        <v>Addressable sounder with beacon and isolator</v>
      </c>
      <c r="C50" s="97"/>
      <c r="D50" s="20">
        <f>'SC_Loop 1'!D50</f>
        <v>1.773E-4</v>
      </c>
      <c r="E50" s="57">
        <f t="shared" si="2"/>
        <v>0</v>
      </c>
      <c r="F50" s="199">
        <f>C50*'System Calculation'!$I$13</f>
        <v>0</v>
      </c>
      <c r="G50" s="20">
        <f>'SC_Loop 1'!G50</f>
        <v>1.2320000000000001E-2</v>
      </c>
      <c r="H50" s="57">
        <f t="shared" si="3"/>
        <v>0</v>
      </c>
      <c r="I50" s="49" t="str">
        <f t="shared" si="14"/>
        <v xml:space="preserve"> </v>
      </c>
      <c r="J50" s="49"/>
      <c r="K50" s="49"/>
      <c r="L50" s="49" t="str">
        <f t="shared" si="13"/>
        <v xml:space="preserve"> </v>
      </c>
      <c r="M50" s="106" t="str">
        <f t="shared" si="15"/>
        <v xml:space="preserve"> </v>
      </c>
    </row>
    <row r="51" spans="1:15" ht="37.5" x14ac:dyDescent="0.25">
      <c r="A51" s="115" t="str">
        <f>'SC_Loop 1'!A51</f>
        <v>MAD-465-I Medium Volume (93 dB)</v>
      </c>
      <c r="B51" s="208" t="str">
        <f>'SC_Loop 1'!B51</f>
        <v>Addressable sounder with beacon and isolator</v>
      </c>
      <c r="C51" s="97"/>
      <c r="D51" s="20">
        <f>'SC_Loop 1'!D51</f>
        <v>1.773E-4</v>
      </c>
      <c r="E51" s="57">
        <f t="shared" si="2"/>
        <v>0</v>
      </c>
      <c r="F51" s="199">
        <f>C51*'System Calculation'!$I$13</f>
        <v>0</v>
      </c>
      <c r="G51" s="20">
        <f>'SC_Loop 1'!G51</f>
        <v>1.2320000000000001E-2</v>
      </c>
      <c r="H51" s="57">
        <f t="shared" si="3"/>
        <v>0</v>
      </c>
      <c r="I51" s="49" t="str">
        <f t="shared" si="14"/>
        <v xml:space="preserve"> </v>
      </c>
      <c r="J51" s="49"/>
      <c r="K51" s="49"/>
      <c r="L51" s="49" t="str">
        <f t="shared" si="13"/>
        <v xml:space="preserve"> </v>
      </c>
      <c r="M51" s="106" t="str">
        <f t="shared" si="15"/>
        <v xml:space="preserve"> </v>
      </c>
    </row>
    <row r="52" spans="1:15" ht="37.5" x14ac:dyDescent="0.25">
      <c r="A52" s="115" t="str">
        <f>'SC_Loop 1'!A52</f>
        <v>MAD-465-I High Volume (97 dB)</v>
      </c>
      <c r="B52" s="208" t="str">
        <f>'SC_Loop 1'!B52</f>
        <v>Addressable sounder with beacon and isolator</v>
      </c>
      <c r="C52" s="97"/>
      <c r="D52" s="20">
        <f>'SC_Loop 1'!D52</f>
        <v>1.773E-4</v>
      </c>
      <c r="E52" s="57">
        <f t="shared" si="2"/>
        <v>0</v>
      </c>
      <c r="F52" s="199">
        <f>C52*'System Calculation'!$I$13</f>
        <v>0</v>
      </c>
      <c r="G52" s="20">
        <f>'SC_Loop 1'!G52</f>
        <v>1.2320000000000001E-2</v>
      </c>
      <c r="H52" s="57">
        <f t="shared" si="3"/>
        <v>0</v>
      </c>
      <c r="I52" s="49" t="str">
        <f t="shared" si="14"/>
        <v xml:space="preserve"> </v>
      </c>
      <c r="J52" s="49"/>
      <c r="K52" s="49"/>
      <c r="L52" s="49" t="str">
        <f t="shared" si="13"/>
        <v xml:space="preserve"> </v>
      </c>
      <c r="M52" s="106" t="str">
        <f t="shared" si="15"/>
        <v xml:space="preserve"> </v>
      </c>
    </row>
    <row r="53" spans="1:15" ht="25" x14ac:dyDescent="0.25">
      <c r="A53" s="115" t="str">
        <f>'SC_Loop 1'!A53</f>
        <v>MAD-564-I (loop)</v>
      </c>
      <c r="B53" s="208" t="str">
        <f>'SC_Loop 1'!B53</f>
        <v>Addressable sounder with isolator</v>
      </c>
      <c r="C53" s="97"/>
      <c r="D53" s="20">
        <f>'SC_Loop 1'!D53</f>
        <v>1.58E-3</v>
      </c>
      <c r="E53" s="57">
        <f t="shared" si="2"/>
        <v>0</v>
      </c>
      <c r="F53" s="199">
        <f>C53*'System Calculation'!$I$13</f>
        <v>0</v>
      </c>
      <c r="G53" s="20">
        <f>'SC_Loop 1'!G53</f>
        <v>2.111E-2</v>
      </c>
      <c r="H53" s="57">
        <f t="shared" si="3"/>
        <v>0</v>
      </c>
      <c r="I53" s="49" t="str">
        <f t="shared" si="14"/>
        <v xml:space="preserve"> </v>
      </c>
      <c r="J53" s="49"/>
      <c r="K53" s="49"/>
      <c r="L53" s="49" t="str">
        <f t="shared" si="13"/>
        <v xml:space="preserve"> </v>
      </c>
      <c r="M53" s="106" t="str">
        <f t="shared" si="15"/>
        <v xml:space="preserve"> </v>
      </c>
    </row>
    <row r="54" spans="1:15" ht="25" x14ac:dyDescent="0.25">
      <c r="A54" s="115" t="str">
        <f>'SC_Loop 1'!A54</f>
        <v>MAD-564-I (External PS)</v>
      </c>
      <c r="B54" s="208" t="str">
        <f>'SC_Loop 1'!B54</f>
        <v>Addressable sounder with isolator</v>
      </c>
      <c r="C54" s="97"/>
      <c r="D54" s="20">
        <f>'SC_Loop 1'!D54</f>
        <v>3.5E-4</v>
      </c>
      <c r="E54" s="57">
        <f t="shared" si="2"/>
        <v>0</v>
      </c>
      <c r="F54" s="199">
        <f>C54*'System Calculation'!$I$13</f>
        <v>0</v>
      </c>
      <c r="G54" s="20">
        <f>'SC_Loop 1'!G54</f>
        <v>8.0000000000000004E-4</v>
      </c>
      <c r="H54" s="57">
        <f t="shared" si="3"/>
        <v>0</v>
      </c>
      <c r="I54" s="49" t="str">
        <f t="shared" si="14"/>
        <v xml:space="preserve"> </v>
      </c>
      <c r="J54" s="49"/>
      <c r="K54" s="49"/>
      <c r="L54" s="49" t="str">
        <f t="shared" si="13"/>
        <v xml:space="preserve"> </v>
      </c>
      <c r="M54" s="106" t="str">
        <f t="shared" si="15"/>
        <v xml:space="preserve"> </v>
      </c>
      <c r="O54" s="13" t="str">
        <f>IF(AND(C53&gt;0),"Info: External 24V needed. EN 54-4 certificate."," ")</f>
        <v xml:space="preserve"> </v>
      </c>
    </row>
    <row r="55" spans="1:15" ht="25" x14ac:dyDescent="0.25">
      <c r="A55" s="115" t="str">
        <f>'SC_Loop 1'!A55</f>
        <v>MAD-565-I (loop)</v>
      </c>
      <c r="B55" s="208" t="str">
        <f>'SC_Loop 1'!B55</f>
        <v>Addressable sounder with VAD and isolator</v>
      </c>
      <c r="C55" s="97"/>
      <c r="D55" s="20">
        <f>'SC_Loop 1'!D55</f>
        <v>1.58E-3</v>
      </c>
      <c r="E55" s="57">
        <f t="shared" si="2"/>
        <v>0</v>
      </c>
      <c r="F55" s="199">
        <f>C55*'System Calculation'!$I$13</f>
        <v>0</v>
      </c>
      <c r="G55" s="20">
        <f>'SC_Loop 1'!G55</f>
        <v>3.3450000000000001E-2</v>
      </c>
      <c r="H55" s="57">
        <f t="shared" si="3"/>
        <v>0</v>
      </c>
      <c r="I55" s="49" t="str">
        <f t="shared" si="14"/>
        <v xml:space="preserve"> </v>
      </c>
      <c r="J55" s="49"/>
      <c r="K55" s="49"/>
      <c r="L55" s="49" t="str">
        <f t="shared" si="13"/>
        <v xml:space="preserve"> </v>
      </c>
      <c r="M55" s="106" t="str">
        <f t="shared" si="15"/>
        <v xml:space="preserve"> </v>
      </c>
    </row>
    <row r="56" spans="1:15" ht="25" x14ac:dyDescent="0.25">
      <c r="A56" s="115" t="str">
        <f>'SC_Loop 1'!A56</f>
        <v>MAD-565-I (External PS)</v>
      </c>
      <c r="B56" s="208" t="str">
        <f>'SC_Loop 1'!B56</f>
        <v>Addressable sounder with VAD and isolator</v>
      </c>
      <c r="C56" s="97"/>
      <c r="D56" s="20">
        <f>'SC_Loop 1'!D56</f>
        <v>3.5E-4</v>
      </c>
      <c r="E56" s="57">
        <f t="shared" si="2"/>
        <v>0</v>
      </c>
      <c r="F56" s="199">
        <f>C56*'System Calculation'!$I$13</f>
        <v>0</v>
      </c>
      <c r="G56" s="20">
        <f>'SC_Loop 1'!G56</f>
        <v>8.0000000000000004E-4</v>
      </c>
      <c r="H56" s="57">
        <f t="shared" si="3"/>
        <v>0</v>
      </c>
      <c r="I56" s="49" t="str">
        <f t="shared" si="14"/>
        <v xml:space="preserve"> </v>
      </c>
      <c r="J56" s="49"/>
      <c r="K56" s="49"/>
      <c r="L56" s="49" t="str">
        <f t="shared" si="13"/>
        <v xml:space="preserve"> </v>
      </c>
      <c r="M56" s="106" t="str">
        <f t="shared" si="15"/>
        <v xml:space="preserve"> </v>
      </c>
      <c r="O56" s="13" t="str">
        <f>IF(AND(C55&gt;0),"Info: External 24V needed. EN 54-4 certificate."," ")</f>
        <v xml:space="preserve"> </v>
      </c>
    </row>
    <row r="57" spans="1:15" ht="25" x14ac:dyDescent="0.25">
      <c r="A57" s="115" t="str">
        <f>'SC_Loop 1'!A57</f>
        <v>MAD-565-I - only flash (loop)</v>
      </c>
      <c r="B57" s="208" t="str">
        <f>'SC_Loop 1'!B57</f>
        <v>Addressable VAD with isolator</v>
      </c>
      <c r="C57" s="97"/>
      <c r="D57" s="20">
        <f>'SC_Loop 1'!D57</f>
        <v>1.58E-3</v>
      </c>
      <c r="E57" s="57">
        <f>C57*D57</f>
        <v>0</v>
      </c>
      <c r="F57" s="199">
        <f>C57*'System Calculation'!$I$13</f>
        <v>0</v>
      </c>
      <c r="G57" s="20">
        <f>'SC_Loop 1'!G57</f>
        <v>3.3450000000000001E-2</v>
      </c>
      <c r="H57" s="57">
        <f t="shared" si="3"/>
        <v>0</v>
      </c>
      <c r="I57" s="49" t="str">
        <f t="shared" si="14"/>
        <v xml:space="preserve"> </v>
      </c>
      <c r="J57" s="49"/>
      <c r="K57" s="49"/>
      <c r="L57" s="49" t="str">
        <f t="shared" si="13"/>
        <v xml:space="preserve"> </v>
      </c>
      <c r="M57" s="106" t="str">
        <f t="shared" si="15"/>
        <v xml:space="preserve"> </v>
      </c>
    </row>
    <row r="58" spans="1:15" ht="25" x14ac:dyDescent="0.25">
      <c r="A58" s="115" t="str">
        <f>'SC_Loop 1'!A58</f>
        <v>MAD-565-I - only flash (External PS)</v>
      </c>
      <c r="B58" s="208" t="str">
        <f>'SC_Loop 1'!B58</f>
        <v>Addressable VAD with isolator</v>
      </c>
      <c r="C58" s="97"/>
      <c r="D58" s="20">
        <f>'SC_Loop 1'!D58</f>
        <v>3.5E-4</v>
      </c>
      <c r="E58" s="57">
        <f t="shared" ref="E58" si="16">C58*D58</f>
        <v>0</v>
      </c>
      <c r="F58" s="199">
        <f>C58*'System Calculation'!$I$13</f>
        <v>0</v>
      </c>
      <c r="G58" s="20">
        <f>'SC_Loop 1'!G58</f>
        <v>8.0000000000000004E-4</v>
      </c>
      <c r="H58" s="57">
        <f t="shared" si="3"/>
        <v>0</v>
      </c>
      <c r="I58" s="49" t="str">
        <f t="shared" si="14"/>
        <v xml:space="preserve"> </v>
      </c>
      <c r="J58" s="49"/>
      <c r="K58" s="49"/>
      <c r="L58" s="49" t="str">
        <f t="shared" si="13"/>
        <v xml:space="preserve"> </v>
      </c>
      <c r="M58" s="106" t="str">
        <f t="shared" si="15"/>
        <v xml:space="preserve"> </v>
      </c>
      <c r="O58" s="13" t="str">
        <f>IF(AND(C57&gt;0),"Info: External 24V needed. EN 54-4 certificate."," ")</f>
        <v xml:space="preserve"> </v>
      </c>
    </row>
    <row r="59" spans="1:15" ht="25" x14ac:dyDescent="0.25">
      <c r="A59" s="115" t="str">
        <f>'SC_Loop 1'!A59</f>
        <v>MAD-567-I (loop)</v>
      </c>
      <c r="B59" s="208" t="str">
        <f>'SC_Loop 1'!B59</f>
        <v>Sounder base with isolator</v>
      </c>
      <c r="C59" s="97"/>
      <c r="D59" s="20">
        <f>'SC_Loop 1'!D59</f>
        <v>1.17E-3</v>
      </c>
      <c r="E59" s="57">
        <f t="shared" si="2"/>
        <v>0</v>
      </c>
      <c r="F59" s="199">
        <f>C59*'System Calculation'!$I$13</f>
        <v>0</v>
      </c>
      <c r="G59" s="20">
        <f>'SC_Loop 1'!G59</f>
        <v>8.9499999999999996E-3</v>
      </c>
      <c r="H59" s="57">
        <f t="shared" si="3"/>
        <v>0</v>
      </c>
      <c r="I59" s="49" t="str">
        <f t="shared" si="14"/>
        <v xml:space="preserve"> </v>
      </c>
      <c r="J59" s="49"/>
      <c r="K59" s="49"/>
      <c r="L59" s="49" t="str">
        <f t="shared" si="13"/>
        <v xml:space="preserve"> </v>
      </c>
      <c r="M59" s="106" t="str">
        <f t="shared" si="15"/>
        <v xml:space="preserve"> </v>
      </c>
    </row>
    <row r="60" spans="1:15" ht="25" x14ac:dyDescent="0.25">
      <c r="A60" s="115" t="str">
        <f>'SC_Loop 1'!A60</f>
        <v>MAD-567-I (External PS)</v>
      </c>
      <c r="B60" s="208" t="str">
        <f>'SC_Loop 1'!B60</f>
        <v>Sounder base with isolator</v>
      </c>
      <c r="C60" s="97"/>
      <c r="D60" s="20">
        <f>'SC_Loop 1'!D60</f>
        <v>2.61E-4</v>
      </c>
      <c r="E60" s="57">
        <f t="shared" si="2"/>
        <v>0</v>
      </c>
      <c r="F60" s="199">
        <f>C60*'System Calculation'!$I$13</f>
        <v>0</v>
      </c>
      <c r="G60" s="20">
        <f>'SC_Loop 1'!G60</f>
        <v>7.1000000000000002E-4</v>
      </c>
      <c r="H60" s="57">
        <f t="shared" si="3"/>
        <v>0</v>
      </c>
      <c r="I60" s="49" t="str">
        <f t="shared" si="14"/>
        <v xml:space="preserve"> </v>
      </c>
      <c r="J60" s="49"/>
      <c r="K60" s="49"/>
      <c r="L60" s="49" t="str">
        <f t="shared" si="13"/>
        <v xml:space="preserve"> </v>
      </c>
      <c r="M60" s="106" t="str">
        <f t="shared" si="15"/>
        <v xml:space="preserve"> </v>
      </c>
      <c r="O60" s="13" t="str">
        <f>IF(AND(C59&gt;0),"Info: External 24V needed. EN 54-4 certificate."," ")</f>
        <v xml:space="preserve"> </v>
      </c>
    </row>
    <row r="61" spans="1:15" ht="25" x14ac:dyDescent="0.25">
      <c r="A61" s="115" t="str">
        <f>'SC_Loop 1'!A61</f>
        <v>MAD-569-I (loop)</v>
      </c>
      <c r="B61" s="208" t="str">
        <f>'SC_Loop 1'!B61</f>
        <v>Sounder &amp; VAD base with isolator</v>
      </c>
      <c r="C61" s="97"/>
      <c r="D61" s="20">
        <f>'SC_Loop 1'!D61</f>
        <v>1.17E-3</v>
      </c>
      <c r="E61" s="57">
        <f t="shared" si="2"/>
        <v>0</v>
      </c>
      <c r="F61" s="199">
        <f>C61*'System Calculation'!$I$13</f>
        <v>0</v>
      </c>
      <c r="G61" s="20">
        <f>'SC_Loop 1'!G61</f>
        <v>2.3260000000000003E-2</v>
      </c>
      <c r="H61" s="57">
        <f t="shared" si="3"/>
        <v>0</v>
      </c>
      <c r="I61" s="49" t="str">
        <f t="shared" si="14"/>
        <v xml:space="preserve"> </v>
      </c>
      <c r="J61" s="49"/>
      <c r="K61" s="49"/>
      <c r="L61" s="49" t="str">
        <f t="shared" si="13"/>
        <v xml:space="preserve"> </v>
      </c>
      <c r="M61" s="106" t="str">
        <f t="shared" si="15"/>
        <v xml:space="preserve"> </v>
      </c>
    </row>
    <row r="62" spans="1:15" ht="25" x14ac:dyDescent="0.25">
      <c r="A62" s="115" t="str">
        <f>'SC_Loop 1'!A62</f>
        <v>MAD-569-I (External PS)</v>
      </c>
      <c r="B62" s="208" t="str">
        <f>'SC_Loop 1'!B62</f>
        <v>Sounder &amp; VAD base with isolator</v>
      </c>
      <c r="C62" s="97"/>
      <c r="D62" s="20">
        <f>'SC_Loop 1'!D62</f>
        <v>2.5889999999999995E-4</v>
      </c>
      <c r="E62" s="57">
        <f t="shared" si="2"/>
        <v>0</v>
      </c>
      <c r="F62" s="199">
        <f>C62*'System Calculation'!$I$13</f>
        <v>0</v>
      </c>
      <c r="G62" s="20">
        <f>'SC_Loop 1'!G62</f>
        <v>7.1000000000000002E-4</v>
      </c>
      <c r="H62" s="57">
        <f t="shared" si="3"/>
        <v>0</v>
      </c>
      <c r="I62" s="49" t="str">
        <f t="shared" si="14"/>
        <v xml:space="preserve"> </v>
      </c>
      <c r="J62" s="49"/>
      <c r="K62" s="49"/>
      <c r="L62" s="49" t="str">
        <f t="shared" si="13"/>
        <v xml:space="preserve"> </v>
      </c>
      <c r="M62" s="106" t="str">
        <f t="shared" si="15"/>
        <v xml:space="preserve"> </v>
      </c>
      <c r="O62" s="13" t="str">
        <f>IF(AND(C61&gt;0),"Info: External 24V needed. EN 54-4 certificate."," ")</f>
        <v xml:space="preserve"> </v>
      </c>
    </row>
    <row r="63" spans="1:15" ht="25" x14ac:dyDescent="0.25">
      <c r="A63" s="115" t="str">
        <f>'SC_Loop 1'!A63</f>
        <v>MAD-569-I - only flash (loop)</v>
      </c>
      <c r="B63" s="208" t="str">
        <f>'SC_Loop 1'!B63</f>
        <v>VAD base with isolator</v>
      </c>
      <c r="C63" s="97"/>
      <c r="D63" s="20">
        <f>'SC_Loop 1'!D63</f>
        <v>1.17E-3</v>
      </c>
      <c r="E63" s="57">
        <f t="shared" si="2"/>
        <v>0</v>
      </c>
      <c r="F63" s="199">
        <f>C63*'System Calculation'!$I$13</f>
        <v>0</v>
      </c>
      <c r="G63" s="20">
        <f>'SC_Loop 1'!G63</f>
        <v>2.3260000000000003E-2</v>
      </c>
      <c r="H63" s="57">
        <f t="shared" si="3"/>
        <v>0</v>
      </c>
      <c r="I63" s="49" t="str">
        <f t="shared" si="14"/>
        <v xml:space="preserve"> </v>
      </c>
      <c r="J63" s="49"/>
      <c r="K63" s="49"/>
      <c r="L63" s="49" t="str">
        <f t="shared" si="13"/>
        <v xml:space="preserve"> </v>
      </c>
      <c r="M63" s="106" t="str">
        <f t="shared" si="15"/>
        <v xml:space="preserve"> </v>
      </c>
    </row>
    <row r="64" spans="1:15" ht="25" x14ac:dyDescent="0.25">
      <c r="A64" s="115" t="str">
        <f>'SC_Loop 1'!A64</f>
        <v>MAD-569-I only flash (External PS)</v>
      </c>
      <c r="B64" s="208" t="str">
        <f>'SC_Loop 1'!B64</f>
        <v>VAD base with isolator</v>
      </c>
      <c r="C64" s="97"/>
      <c r="D64" s="20">
        <f>'SC_Loop 1'!D64</f>
        <v>2.5889999999999995E-4</v>
      </c>
      <c r="E64" s="57">
        <f t="shared" si="2"/>
        <v>0</v>
      </c>
      <c r="F64" s="199">
        <f>C64*'System Calculation'!$I$13</f>
        <v>0</v>
      </c>
      <c r="G64" s="20">
        <f>'SC_Loop 1'!G64</f>
        <v>7.1000000000000002E-4</v>
      </c>
      <c r="H64" s="57">
        <f t="shared" si="3"/>
        <v>0</v>
      </c>
      <c r="I64" s="49" t="str">
        <f t="shared" si="14"/>
        <v xml:space="preserve"> </v>
      </c>
      <c r="J64" s="49"/>
      <c r="K64" s="49"/>
      <c r="L64" s="49" t="str">
        <f t="shared" si="13"/>
        <v xml:space="preserve"> </v>
      </c>
      <c r="M64" s="106" t="str">
        <f t="shared" si="15"/>
        <v xml:space="preserve"> </v>
      </c>
      <c r="O64" s="13" t="str">
        <f>IF(AND(C63&gt;0),"Info: External 24V needed. EN 54-4 certificate."," ")</f>
        <v xml:space="preserve"> </v>
      </c>
    </row>
    <row r="65" spans="1:15" x14ac:dyDescent="0.25">
      <c r="A65" s="115" t="str">
        <f>'SC_Loop 1'!A65</f>
        <v>MAD-472</v>
      </c>
      <c r="B65" s="208" t="str">
        <f>'SC_Loop 1'!B65</f>
        <v>Sounder base</v>
      </c>
      <c r="C65" s="97"/>
      <c r="D65" s="20">
        <f>'SC_Loop 1'!D65</f>
        <v>1.0739999999999999E-4</v>
      </c>
      <c r="E65" s="57">
        <f>C65*D65</f>
        <v>0</v>
      </c>
      <c r="F65" s="199">
        <f>C65*'System Calculation'!$I$13</f>
        <v>0</v>
      </c>
      <c r="G65" s="20">
        <f>'SC_Loop 1'!G65</f>
        <v>8.4499999999999992E-3</v>
      </c>
      <c r="H65" s="57">
        <f t="shared" si="3"/>
        <v>0</v>
      </c>
      <c r="I65" s="49" t="str">
        <f t="shared" si="14"/>
        <v xml:space="preserve"> </v>
      </c>
      <c r="J65" s="49"/>
      <c r="K65" s="49"/>
      <c r="L65" s="49" t="str">
        <f t="shared" si="13"/>
        <v xml:space="preserve"> </v>
      </c>
      <c r="M65" s="106" t="str">
        <f t="shared" si="15"/>
        <v xml:space="preserve"> </v>
      </c>
      <c r="O65" s="13" t="str">
        <f>IF(AND(C65&gt;0),"Info: External 24V needed. EN 54-4 certificate."," ")</f>
        <v xml:space="preserve"> </v>
      </c>
    </row>
    <row r="66" spans="1:15" ht="25" x14ac:dyDescent="0.25">
      <c r="A66" s="115" t="str">
        <f>'SC_Loop 1'!A66</f>
        <v>MAD-473</v>
      </c>
      <c r="B66" s="208" t="str">
        <f>'SC_Loop 1'!B66</f>
        <v>Sounder base with flash</v>
      </c>
      <c r="C66" s="97"/>
      <c r="D66" s="20">
        <f>'SC_Loop 1'!D66</f>
        <v>1.0679999999999999E-4</v>
      </c>
      <c r="E66" s="57">
        <f t="shared" si="2"/>
        <v>0</v>
      </c>
      <c r="F66" s="199">
        <f>C66*'System Calculation'!$I$13</f>
        <v>0</v>
      </c>
      <c r="G66" s="20">
        <f>'SC_Loop 1'!G66</f>
        <v>9.4800000000000006E-3</v>
      </c>
      <c r="H66" s="57">
        <f t="shared" si="3"/>
        <v>0</v>
      </c>
      <c r="I66" s="49" t="str">
        <f t="shared" si="14"/>
        <v xml:space="preserve"> </v>
      </c>
      <c r="J66" s="49"/>
      <c r="K66" s="49"/>
      <c r="L66" s="49" t="str">
        <f t="shared" si="13"/>
        <v xml:space="preserve"> </v>
      </c>
      <c r="M66" s="106" t="str">
        <f t="shared" si="15"/>
        <v xml:space="preserve"> </v>
      </c>
    </row>
    <row r="67" spans="1:15" ht="25" x14ac:dyDescent="0.25">
      <c r="A67" s="115" t="str">
        <f>'SC_Loop 1'!A67</f>
        <v>MAD-481</v>
      </c>
      <c r="B67" s="208" t="str">
        <f>'SC_Loop 1'!B67</f>
        <v>1 output 230V addressable module</v>
      </c>
      <c r="C67" s="97"/>
      <c r="D67" s="20">
        <f>'SC_Loop 1'!D67</f>
        <v>2.9999999999999997E-4</v>
      </c>
      <c r="E67" s="57">
        <f t="shared" si="2"/>
        <v>0</v>
      </c>
      <c r="F67" s="199">
        <f>C67*'System Calculation'!$I$14</f>
        <v>0</v>
      </c>
      <c r="G67" s="20">
        <f>'SC_Loop 1'!G67</f>
        <v>3.0000000000000001E-3</v>
      </c>
      <c r="H67" s="57">
        <f t="shared" si="3"/>
        <v>0</v>
      </c>
      <c r="I67" s="49"/>
      <c r="J67" s="49"/>
      <c r="K67" s="49" t="str">
        <f>IF(C67&lt;&gt;0,C67," ")</f>
        <v xml:space="preserve"> </v>
      </c>
      <c r="L67" s="49"/>
      <c r="M67" s="106" t="str">
        <f>IF(K67&lt;&gt;0,K67," ")</f>
        <v xml:space="preserve"> </v>
      </c>
    </row>
    <row r="68" spans="1:15" ht="37.5" x14ac:dyDescent="0.25">
      <c r="A68" s="115" t="str">
        <f>'SC_Loop 1'!A68</f>
        <v>MAD-481-I</v>
      </c>
      <c r="B68" s="208" t="str">
        <f>'SC_Loop 1'!B68</f>
        <v>1 output 230V addressable module with isolator</v>
      </c>
      <c r="C68" s="97"/>
      <c r="D68" s="20">
        <f>'SC_Loop 1'!D68</f>
        <v>2.9999999999999997E-4</v>
      </c>
      <c r="E68" s="57">
        <f t="shared" si="2"/>
        <v>0</v>
      </c>
      <c r="F68" s="199">
        <f>C68*'System Calculation'!$I$14</f>
        <v>0</v>
      </c>
      <c r="G68" s="20">
        <f>'SC_Loop 1'!G68</f>
        <v>3.0000000000000001E-3</v>
      </c>
      <c r="H68" s="57">
        <f t="shared" si="3"/>
        <v>0</v>
      </c>
      <c r="I68" s="49"/>
      <c r="J68" s="49"/>
      <c r="K68" s="49" t="str">
        <f>IF(C68&lt;&gt;0,C68," ")</f>
        <v xml:space="preserve"> </v>
      </c>
      <c r="L68" s="49"/>
      <c r="M68" s="106" t="str">
        <f t="shared" ref="M68:M69" si="17">IF(K68&lt;&gt;0,K68," ")</f>
        <v xml:space="preserve"> </v>
      </c>
      <c r="O68" s="13"/>
    </row>
    <row r="69" spans="1:15" x14ac:dyDescent="0.25">
      <c r="A69" s="115" t="str">
        <f>'SC_Loop 1'!A69</f>
        <v>MAD-490</v>
      </c>
      <c r="B69" s="208" t="str">
        <f>'SC_Loop 1'!B69</f>
        <v>Isolator module</v>
      </c>
      <c r="C69" s="97"/>
      <c r="D69" s="20">
        <f>'SC_Loop 1'!D69</f>
        <v>6.9599999999999998E-5</v>
      </c>
      <c r="E69" s="57">
        <f t="shared" si="2"/>
        <v>0</v>
      </c>
      <c r="F69" s="199">
        <f>C69*'System Calculation'!$I$14</f>
        <v>0</v>
      </c>
      <c r="G69" s="20">
        <f>'SC_Loop 1'!G69</f>
        <v>3.7659999999999999E-2</v>
      </c>
      <c r="H69" s="57">
        <f t="shared" si="3"/>
        <v>0</v>
      </c>
      <c r="I69" s="49"/>
      <c r="J69" s="49"/>
      <c r="K69" s="49" t="str">
        <f>IF(C69&lt;&gt;0,C69," ")</f>
        <v xml:space="preserve"> </v>
      </c>
      <c r="L69" s="49"/>
      <c r="M69" s="106" t="str">
        <f t="shared" si="17"/>
        <v xml:space="preserve"> </v>
      </c>
    </row>
    <row r="70" spans="1:15" ht="25" x14ac:dyDescent="0.25">
      <c r="A70" s="115" t="str">
        <f>'SC_Loop 1'!A70</f>
        <v>PAD-10A-I</v>
      </c>
      <c r="B70" s="208" t="str">
        <f>'SC_Loop 1'!B70</f>
        <v>Remote indicator with isolator</v>
      </c>
      <c r="C70" s="97"/>
      <c r="D70" s="20">
        <f>'SC_Loop 1'!D70</f>
        <v>1.7640000000000001E-4</v>
      </c>
      <c r="E70" s="57">
        <f t="shared" si="2"/>
        <v>0</v>
      </c>
      <c r="F70" s="199">
        <f>IF(C70&gt;10,10,C70)</f>
        <v>0</v>
      </c>
      <c r="G70" s="20">
        <f>'SC_Loop 1'!G70</f>
        <v>2.98E-3</v>
      </c>
      <c r="H70" s="57">
        <f t="shared" si="3"/>
        <v>0</v>
      </c>
      <c r="I70" s="49"/>
      <c r="J70" s="49" t="str">
        <f t="shared" ref="J70" si="18">IF(C70&lt;&gt;0,C70," ")</f>
        <v xml:space="preserve"> </v>
      </c>
      <c r="K70" s="49"/>
      <c r="L70" s="49"/>
      <c r="M70" s="106" t="str">
        <f t="shared" si="4"/>
        <v xml:space="preserve"> </v>
      </c>
    </row>
    <row r="71" spans="1:15" ht="37.5" x14ac:dyDescent="0.25">
      <c r="A71" s="115" t="str">
        <f>'SC_Loop 1'!A71</f>
        <v>TPLD-100 (CCD-102) = 3 loop address</v>
      </c>
      <c r="B71" s="208" t="str">
        <f>'SC_Loop 1'!B71</f>
        <v>2 zones fire alarm control panel connected to loop</v>
      </c>
      <c r="C71" s="97"/>
      <c r="D71" s="20">
        <f>'SC_Loop 1'!D71</f>
        <v>1.8629999999999999E-3</v>
      </c>
      <c r="E71" s="57">
        <f t="shared" si="2"/>
        <v>0</v>
      </c>
      <c r="F71" s="199">
        <f>C71</f>
        <v>0</v>
      </c>
      <c r="G71" s="20">
        <f>'SC_Loop 1'!G71</f>
        <v>1.8600000000000001E-3</v>
      </c>
      <c r="H71" s="57">
        <f t="shared" si="3"/>
        <v>0</v>
      </c>
      <c r="I71" s="49"/>
      <c r="J71" s="49"/>
      <c r="K71" s="49"/>
      <c r="L71" s="49"/>
      <c r="M71" s="106" t="str">
        <f>IF(C75&lt;&gt;0,3*C75," ")</f>
        <v xml:space="preserve"> </v>
      </c>
    </row>
    <row r="72" spans="1:15" ht="37.5" x14ac:dyDescent="0.25">
      <c r="A72" s="115" t="str">
        <f>'SC_Loop 1'!A72</f>
        <v>TPLD-100 (CCD-104) = 5 loop address</v>
      </c>
      <c r="B72" s="208" t="str">
        <f>'SC_Loop 1'!B72</f>
        <v>4 zones fire alarm control panel connected to loop</v>
      </c>
      <c r="C72" s="97"/>
      <c r="D72" s="20">
        <f>'SC_Loop 1'!D72</f>
        <v>1.8629999999999999E-3</v>
      </c>
      <c r="E72" s="57">
        <f t="shared" si="2"/>
        <v>0</v>
      </c>
      <c r="F72" s="199">
        <f t="shared" ref="F72:F75" si="19">C72</f>
        <v>0</v>
      </c>
      <c r="G72" s="20">
        <f>'SC_Loop 1'!G72</f>
        <v>1.8600000000000001E-3</v>
      </c>
      <c r="H72" s="57">
        <f t="shared" si="3"/>
        <v>0</v>
      </c>
      <c r="I72" s="49"/>
      <c r="J72" s="49"/>
      <c r="K72" s="49"/>
      <c r="L72" s="49"/>
      <c r="M72" s="106" t="str">
        <f>IF(C75&lt;&gt;0,5*C75," ")</f>
        <v xml:space="preserve"> </v>
      </c>
    </row>
    <row r="73" spans="1:15" ht="37.5" x14ac:dyDescent="0.25">
      <c r="A73" s="115" t="str">
        <f>'SC_Loop 1'!A73</f>
        <v>TPLD-100 (CCD-108) = 9 loop address</v>
      </c>
      <c r="B73" s="208" t="str">
        <f>'SC_Loop 1'!B73</f>
        <v>8 zones fire alarm control panel connected to loop</v>
      </c>
      <c r="C73" s="97"/>
      <c r="D73" s="20">
        <f>'SC_Loop 1'!D73</f>
        <v>1.8629999999999999E-3</v>
      </c>
      <c r="E73" s="57">
        <f t="shared" si="2"/>
        <v>0</v>
      </c>
      <c r="F73" s="199">
        <f t="shared" si="19"/>
        <v>0</v>
      </c>
      <c r="G73" s="20">
        <f>'SC_Loop 1'!G73</f>
        <v>1.8600000000000001E-3</v>
      </c>
      <c r="H73" s="57">
        <f t="shared" si="3"/>
        <v>0</v>
      </c>
      <c r="I73" s="49"/>
      <c r="J73" s="49"/>
      <c r="K73" s="49"/>
      <c r="L73" s="49"/>
      <c r="M73" s="106" t="str">
        <f>IF(C75&lt;&gt;0,9*C75," ")</f>
        <v xml:space="preserve"> </v>
      </c>
    </row>
    <row r="74" spans="1:15" ht="37.5" x14ac:dyDescent="0.25">
      <c r="A74" s="115" t="str">
        <f>'SC_Loop 1'!A74</f>
        <v>TPLD-100 (CCD-112) = 13 loop address</v>
      </c>
      <c r="B74" s="208" t="str">
        <f>'SC_Loop 1'!B74</f>
        <v>12 zones fire alarm control panel connected to loop</v>
      </c>
      <c r="C74" s="97"/>
      <c r="D74" s="20">
        <f>'SC_Loop 1'!D74</f>
        <v>1.8629999999999999E-3</v>
      </c>
      <c r="E74" s="57">
        <f t="shared" si="2"/>
        <v>0</v>
      </c>
      <c r="F74" s="199">
        <f t="shared" si="19"/>
        <v>0</v>
      </c>
      <c r="G74" s="20">
        <f>'SC_Loop 1'!G74</f>
        <v>1.8600000000000001E-3</v>
      </c>
      <c r="H74" s="57">
        <f t="shared" si="3"/>
        <v>0</v>
      </c>
      <c r="I74" s="49"/>
      <c r="J74" s="49"/>
      <c r="K74" s="49"/>
      <c r="L74" s="49"/>
      <c r="M74" s="106" t="str">
        <f>IF(C75&lt;&gt;0,13*C75," ")</f>
        <v xml:space="preserve"> </v>
      </c>
    </row>
    <row r="75" spans="1:15" ht="38.5" thickBot="1" x14ac:dyDescent="0.35">
      <c r="A75" s="115" t="str">
        <f>'SC_Loop 1'!A75</f>
        <v>TPLD-100 (CCD-103) = 7 loop address</v>
      </c>
      <c r="B75" s="208" t="str">
        <f>'SC_Loop 1'!B75</f>
        <v>Extinguishing control panel connected to loop</v>
      </c>
      <c r="C75" s="97"/>
      <c r="D75" s="171">
        <f>'SC_Loop 1'!D75</f>
        <v>1.8629999999999999E-3</v>
      </c>
      <c r="E75" s="111">
        <f t="shared" si="2"/>
        <v>0</v>
      </c>
      <c r="F75" s="199">
        <f t="shared" si="19"/>
        <v>0</v>
      </c>
      <c r="G75" s="171">
        <f>'SC_Loop 1'!G75</f>
        <v>1.8600000000000001E-3</v>
      </c>
      <c r="H75" s="111">
        <f t="shared" si="3"/>
        <v>0</v>
      </c>
      <c r="I75" s="39"/>
      <c r="J75" s="39"/>
      <c r="K75" s="39"/>
      <c r="L75" s="121"/>
      <c r="M75" s="112" t="str">
        <f>IF(C75&lt;&gt;0,7*C75," ")</f>
        <v xml:space="preserve"> </v>
      </c>
    </row>
    <row r="76" spans="1:15" s="7" customFormat="1" ht="13.5" thickBot="1" x14ac:dyDescent="0.35">
      <c r="A76" s="15" t="s">
        <v>8</v>
      </c>
      <c r="B76" s="205"/>
      <c r="C76" s="62">
        <f>SUM(C15:C69)+SUM(M72:M75)</f>
        <v>0</v>
      </c>
      <c r="D76" s="213"/>
      <c r="E76" s="59">
        <f>SUM(E15:E75)</f>
        <v>0</v>
      </c>
      <c r="F76" s="61">
        <f>SUM(F15:F69)</f>
        <v>0</v>
      </c>
      <c r="G76" s="212"/>
      <c r="H76" s="59">
        <f t="shared" ref="H76:M76" si="20">SUM(H15:H75)</f>
        <v>0</v>
      </c>
      <c r="I76" s="59">
        <f t="shared" si="20"/>
        <v>0</v>
      </c>
      <c r="J76" s="62">
        <f t="shared" si="20"/>
        <v>0</v>
      </c>
      <c r="K76" s="62">
        <f t="shared" si="20"/>
        <v>0</v>
      </c>
      <c r="L76" s="62">
        <f t="shared" si="20"/>
        <v>0</v>
      </c>
      <c r="M76" s="122">
        <f t="shared" si="20"/>
        <v>0</v>
      </c>
      <c r="O76"/>
    </row>
    <row r="77" spans="1:15" s="7" customFormat="1" ht="13" x14ac:dyDescent="0.3">
      <c r="C77" s="102"/>
      <c r="D77" s="103"/>
      <c r="E77" s="104"/>
      <c r="F77" s="105"/>
      <c r="G77" s="104"/>
      <c r="H77" s="104"/>
      <c r="I77" s="104"/>
      <c r="J77" s="104"/>
      <c r="K77" s="104"/>
      <c r="L77" s="102"/>
      <c r="M77" s="102"/>
    </row>
    <row r="78" spans="1:15" ht="14.4" customHeight="1" thickBot="1" x14ac:dyDescent="0.35">
      <c r="F78" s="26"/>
      <c r="L78" s="130" t="str">
        <f>IF($M$76&gt;250,"Error: The Loop cannot contain more than 250 addresses","")</f>
        <v/>
      </c>
      <c r="O78" s="7"/>
    </row>
    <row r="79" spans="1:15" ht="14.4" customHeight="1" thickBot="1" x14ac:dyDescent="0.35">
      <c r="A79" s="15" t="s">
        <v>136</v>
      </c>
      <c r="B79" s="113"/>
      <c r="C79" s="114"/>
      <c r="D79" s="26"/>
    </row>
    <row r="80" spans="1:15" ht="14.4" customHeight="1" x14ac:dyDescent="0.3">
      <c r="A80" s="96" t="s">
        <v>137</v>
      </c>
      <c r="B80" s="120">
        <v>1.72E-2</v>
      </c>
      <c r="C80" s="117" t="s">
        <v>138</v>
      </c>
      <c r="D80" s="26"/>
    </row>
    <row r="81" spans="1:12" ht="14.4" customHeight="1" x14ac:dyDescent="0.3">
      <c r="A81" s="21" t="s">
        <v>139</v>
      </c>
      <c r="B81" s="119">
        <f>E76</f>
        <v>0</v>
      </c>
      <c r="C81" s="95" t="s">
        <v>9</v>
      </c>
      <c r="D81" s="26"/>
    </row>
    <row r="82" spans="1:12" ht="14.4" customHeight="1" x14ac:dyDescent="0.3">
      <c r="A82" s="21" t="s">
        <v>140</v>
      </c>
      <c r="B82" s="119">
        <f>H76-I76</f>
        <v>0</v>
      </c>
      <c r="C82" s="95" t="s">
        <v>9</v>
      </c>
      <c r="D82" s="26"/>
    </row>
    <row r="83" spans="1:12" ht="14.4" customHeight="1" x14ac:dyDescent="0.3">
      <c r="A83" s="21" t="s">
        <v>141</v>
      </c>
      <c r="B83" s="119">
        <f>I76</f>
        <v>0</v>
      </c>
      <c r="C83" s="95" t="s">
        <v>9</v>
      </c>
      <c r="D83" s="26"/>
    </row>
    <row r="84" spans="1:12" ht="14.4" customHeight="1" x14ac:dyDescent="0.3">
      <c r="A84" s="21" t="s">
        <v>142</v>
      </c>
      <c r="B84" s="119">
        <f>SUM(B82:B83)</f>
        <v>0</v>
      </c>
      <c r="C84" s="95" t="s">
        <v>9</v>
      </c>
      <c r="D84" s="26"/>
    </row>
    <row r="85" spans="1:12" ht="14.4" customHeight="1" thickBot="1" x14ac:dyDescent="0.35">
      <c r="A85" s="22" t="s">
        <v>143</v>
      </c>
      <c r="B85" s="107">
        <v>6.9</v>
      </c>
      <c r="C85" s="28" t="s">
        <v>144</v>
      </c>
      <c r="D85" s="26"/>
    </row>
    <row r="86" spans="1:12" ht="14.4" customHeight="1" thickBot="1" x14ac:dyDescent="0.35">
      <c r="A86" s="13"/>
      <c r="E86" s="26"/>
    </row>
    <row r="87" spans="1:12" ht="14.4" customHeight="1" thickBot="1" x14ac:dyDescent="0.35">
      <c r="A87" s="8" t="s">
        <v>154</v>
      </c>
      <c r="B87" s="127"/>
      <c r="C87" s="127"/>
      <c r="D87" s="127"/>
      <c r="E87" s="139"/>
      <c r="F87" s="127"/>
      <c r="G87" s="127"/>
      <c r="H87" s="127"/>
      <c r="I87" s="127"/>
      <c r="J87" s="127"/>
      <c r="K87" s="128"/>
      <c r="L87" s="131" t="s">
        <v>150</v>
      </c>
    </row>
    <row r="88" spans="1:12" ht="14.4" customHeight="1" x14ac:dyDescent="0.25">
      <c r="A88" s="145" t="s">
        <v>155</v>
      </c>
      <c r="B88" s="41">
        <v>1000</v>
      </c>
      <c r="C88" s="41">
        <v>1500</v>
      </c>
      <c r="D88" s="41"/>
      <c r="E88" s="41">
        <v>2000</v>
      </c>
      <c r="F88" s="41"/>
      <c r="G88" s="41"/>
      <c r="H88" s="41">
        <v>2500</v>
      </c>
      <c r="I88" s="41">
        <v>3000</v>
      </c>
      <c r="J88" s="141">
        <v>3500</v>
      </c>
      <c r="K88" s="132" t="s">
        <v>151</v>
      </c>
    </row>
    <row r="89" spans="1:12" ht="14.4" customHeight="1" x14ac:dyDescent="0.25">
      <c r="A89" s="48" t="s">
        <v>156</v>
      </c>
      <c r="B89" s="134" t="e">
        <f>((($B$80*B88)/B91)*2)</f>
        <v>#DIV/0!</v>
      </c>
      <c r="C89" s="134" t="e">
        <f t="shared" ref="C89" si="21">((($B$80*C88)/C91)*2)</f>
        <v>#DIV/0!</v>
      </c>
      <c r="D89" s="134"/>
      <c r="E89" s="134" t="e">
        <f t="shared" ref="E89:J89" si="22">((($B$80*E88)/E91)*2)</f>
        <v>#DIV/0!</v>
      </c>
      <c r="F89" s="134" t="e">
        <f t="shared" si="22"/>
        <v>#DIV/0!</v>
      </c>
      <c r="G89" s="134"/>
      <c r="H89" s="134" t="e">
        <f t="shared" si="22"/>
        <v>#DIV/0!</v>
      </c>
      <c r="I89" s="134" t="e">
        <f t="shared" si="22"/>
        <v>#DIV/0!</v>
      </c>
      <c r="J89" s="134" t="e">
        <f t="shared" si="22"/>
        <v>#DIV/0!</v>
      </c>
      <c r="K89" s="133" t="s">
        <v>152</v>
      </c>
    </row>
    <row r="90" spans="1:12" ht="14.4" customHeight="1" thickBot="1" x14ac:dyDescent="0.3">
      <c r="A90" s="144" t="s">
        <v>157</v>
      </c>
      <c r="B90" s="134" t="e">
        <f>B89/2</f>
        <v>#DIV/0!</v>
      </c>
      <c r="C90" s="134" t="e">
        <f t="shared" ref="C90" si="23">C89/2</f>
        <v>#DIV/0!</v>
      </c>
      <c r="D90" s="134"/>
      <c r="E90" s="134" t="e">
        <f t="shared" ref="E90:F90" si="24">E89/2</f>
        <v>#DIV/0!</v>
      </c>
      <c r="F90" s="134" t="e">
        <f t="shared" si="24"/>
        <v>#DIV/0!</v>
      </c>
      <c r="G90" s="134"/>
      <c r="H90" s="134" t="e">
        <f>H89/2</f>
        <v>#DIV/0!</v>
      </c>
      <c r="I90" s="134" t="e">
        <f>I89/2</f>
        <v>#DIV/0!</v>
      </c>
      <c r="J90" s="134" t="e">
        <f>J89/2</f>
        <v>#DIV/0!</v>
      </c>
      <c r="K90" s="143" t="s">
        <v>152</v>
      </c>
    </row>
    <row r="91" spans="1:12" ht="14.4" customHeight="1" thickBot="1" x14ac:dyDescent="0.35">
      <c r="A91" s="15" t="s">
        <v>158</v>
      </c>
      <c r="B91" s="168" t="e">
        <f t="shared" ref="B91:J91" si="25">IF((($B$80*B$88)/(($B$85-((SUM($C$16,$C$18,$C$20,$C$22)*0.155)*$B$84))/$B$84))&lt;0.5,0.5,(($B$80*B$88)/(($B$85-((SUM($C$16,$C$18,$C$20,$C$22)*0.155)*$B$84))/$B$84)))</f>
        <v>#DIV/0!</v>
      </c>
      <c r="C91" s="168" t="e">
        <f t="shared" si="25"/>
        <v>#DIV/0!</v>
      </c>
      <c r="D91" s="168" t="e">
        <f t="shared" si="25"/>
        <v>#DIV/0!</v>
      </c>
      <c r="E91" s="168" t="e">
        <f t="shared" si="25"/>
        <v>#DIV/0!</v>
      </c>
      <c r="F91" s="168" t="e">
        <f t="shared" si="25"/>
        <v>#DIV/0!</v>
      </c>
      <c r="G91" s="168" t="e">
        <f t="shared" si="25"/>
        <v>#DIV/0!</v>
      </c>
      <c r="H91" s="168" t="e">
        <f t="shared" si="25"/>
        <v>#DIV/0!</v>
      </c>
      <c r="I91" s="168" t="e">
        <f t="shared" si="25"/>
        <v>#DIV/0!</v>
      </c>
      <c r="J91" s="168" t="e">
        <f t="shared" si="25"/>
        <v>#DIV/0!</v>
      </c>
      <c r="K91" s="94" t="s">
        <v>130</v>
      </c>
    </row>
    <row r="92" spans="1:12" ht="14.4" customHeight="1" thickBot="1" x14ac:dyDescent="0.35">
      <c r="A92" s="13"/>
      <c r="E92" s="26"/>
    </row>
    <row r="93" spans="1:12" ht="14.4" customHeight="1" thickBot="1" x14ac:dyDescent="0.35">
      <c r="A93" s="8" t="s">
        <v>159</v>
      </c>
      <c r="B93" s="127"/>
      <c r="C93" s="127"/>
      <c r="D93" s="127"/>
      <c r="E93" s="139"/>
      <c r="F93" s="127"/>
      <c r="G93" s="127"/>
      <c r="H93" s="127"/>
      <c r="I93" s="127"/>
      <c r="J93" s="127"/>
      <c r="K93" s="128"/>
      <c r="L93" s="131" t="s">
        <v>153</v>
      </c>
    </row>
    <row r="94" spans="1:12" ht="14.4" customHeight="1" x14ac:dyDescent="0.25">
      <c r="A94" s="132" t="s">
        <v>160</v>
      </c>
      <c r="B94" s="37">
        <v>0.5</v>
      </c>
      <c r="C94" s="41">
        <v>0.75</v>
      </c>
      <c r="D94" s="41"/>
      <c r="E94" s="41">
        <v>1</v>
      </c>
      <c r="F94" s="41"/>
      <c r="G94" s="41"/>
      <c r="H94" s="41">
        <v>1.5</v>
      </c>
      <c r="I94" s="41">
        <v>2.5</v>
      </c>
      <c r="J94" s="141">
        <v>4</v>
      </c>
      <c r="K94" s="132" t="s">
        <v>130</v>
      </c>
    </row>
    <row r="95" spans="1:12" ht="14.4" customHeight="1" x14ac:dyDescent="0.25">
      <c r="A95" s="140" t="s">
        <v>156</v>
      </c>
      <c r="B95" s="134" t="e">
        <f t="shared" ref="B95:J95" si="26">$B$80*B97/B94*2</f>
        <v>#DIV/0!</v>
      </c>
      <c r="C95" s="134" t="e">
        <f t="shared" si="26"/>
        <v>#DIV/0!</v>
      </c>
      <c r="D95" s="134"/>
      <c r="E95" s="134" t="e">
        <f t="shared" ref="E95" si="27">$B$80*E97/E94*2</f>
        <v>#DIV/0!</v>
      </c>
      <c r="F95" s="134" t="e">
        <f t="shared" si="26"/>
        <v>#DIV/0!</v>
      </c>
      <c r="G95" s="134"/>
      <c r="H95" s="134" t="e">
        <f t="shared" si="26"/>
        <v>#DIV/0!</v>
      </c>
      <c r="I95" s="134" t="e">
        <f t="shared" si="26"/>
        <v>#DIV/0!</v>
      </c>
      <c r="J95" s="134" t="e">
        <f t="shared" si="26"/>
        <v>#DIV/0!</v>
      </c>
      <c r="K95" s="133" t="s">
        <v>152</v>
      </c>
    </row>
    <row r="96" spans="1:12" ht="14.4" customHeight="1" thickBot="1" x14ac:dyDescent="0.3">
      <c r="A96" s="142" t="s">
        <v>157</v>
      </c>
      <c r="B96" s="134" t="e">
        <f>B95/2</f>
        <v>#DIV/0!</v>
      </c>
      <c r="C96" s="134" t="e">
        <f t="shared" ref="C96" si="28">C95/2</f>
        <v>#DIV/0!</v>
      </c>
      <c r="D96" s="134"/>
      <c r="E96" s="134" t="e">
        <f t="shared" ref="E96:F96" si="29">E95/2</f>
        <v>#DIV/0!</v>
      </c>
      <c r="F96" s="134" t="e">
        <f t="shared" si="29"/>
        <v>#DIV/0!</v>
      </c>
      <c r="G96" s="134"/>
      <c r="H96" s="134" t="e">
        <f>H95/2</f>
        <v>#DIV/0!</v>
      </c>
      <c r="I96" s="134" t="e">
        <f>I95/2</f>
        <v>#DIV/0!</v>
      </c>
      <c r="J96" s="134" t="e">
        <f>J95/2</f>
        <v>#DIV/0!</v>
      </c>
      <c r="K96" s="143" t="s">
        <v>152</v>
      </c>
    </row>
    <row r="97" spans="1:13" ht="14.4" customHeight="1" thickBot="1" x14ac:dyDescent="0.35">
      <c r="A97" s="94" t="s">
        <v>161</v>
      </c>
      <c r="B97" s="168" t="e">
        <f t="shared" ref="B97:J97" si="30">IF((((($B$85-((SUM($C$16,$C$18,$C$20,$C$22)*0.155)*$B$84))/$B$84)*B$94)/$B$80)&gt;3500,3500,(((($B$85-((SUM($C$16,$C$18,$C$20,$C$22)*0.155)*$B$84))/$B$84)*B$94)/$B$80))</f>
        <v>#DIV/0!</v>
      </c>
      <c r="C97" s="168" t="e">
        <f t="shared" si="30"/>
        <v>#DIV/0!</v>
      </c>
      <c r="D97" s="168" t="e">
        <f t="shared" si="30"/>
        <v>#DIV/0!</v>
      </c>
      <c r="E97" s="168" t="e">
        <f t="shared" si="30"/>
        <v>#DIV/0!</v>
      </c>
      <c r="F97" s="168" t="e">
        <f t="shared" si="30"/>
        <v>#DIV/0!</v>
      </c>
      <c r="G97" s="168" t="e">
        <f t="shared" si="30"/>
        <v>#DIV/0!</v>
      </c>
      <c r="H97" s="168" t="e">
        <f t="shared" si="30"/>
        <v>#DIV/0!</v>
      </c>
      <c r="I97" s="168" t="e">
        <f t="shared" si="30"/>
        <v>#DIV/0!</v>
      </c>
      <c r="J97" s="168" t="e">
        <f t="shared" si="30"/>
        <v>#DIV/0!</v>
      </c>
      <c r="K97" s="94" t="s">
        <v>151</v>
      </c>
    </row>
    <row r="98" spans="1:13" ht="14.4" customHeight="1" thickBot="1" x14ac:dyDescent="0.35">
      <c r="A98" s="13"/>
      <c r="E98" s="26"/>
    </row>
    <row r="99" spans="1:13" ht="14.4" customHeight="1" thickBot="1" x14ac:dyDescent="0.35">
      <c r="A99" s="8" t="s">
        <v>162</v>
      </c>
      <c r="B99" s="127"/>
      <c r="C99" s="128"/>
      <c r="D99" s="26"/>
    </row>
    <row r="100" spans="1:13" ht="14.4" customHeight="1" x14ac:dyDescent="0.3">
      <c r="A100" s="96" t="s">
        <v>163</v>
      </c>
      <c r="B100" s="41">
        <f>$B$8</f>
        <v>1.5</v>
      </c>
      <c r="C100" s="98" t="s">
        <v>130</v>
      </c>
      <c r="D100" s="26"/>
      <c r="G100" s="130" t="str">
        <f>IF(B100&lt;0.5,"Error: The Minimum Cable Seccion in the Loop is 0,5 mm2","")</f>
        <v/>
      </c>
    </row>
    <row r="101" spans="1:13" ht="14.4" customHeight="1" x14ac:dyDescent="0.3">
      <c r="A101" s="21" t="s">
        <v>164</v>
      </c>
      <c r="B101" s="49">
        <f>$B$9</f>
        <v>1000</v>
      </c>
      <c r="C101" s="95" t="s">
        <v>130</v>
      </c>
      <c r="D101" s="26"/>
      <c r="G101" s="130" t="str">
        <f>IF(B101&gt;3500,"Error: The Maximum Lenght in the Line is 3500 meters","")</f>
        <v/>
      </c>
    </row>
    <row r="102" spans="1:13" ht="14.4" customHeight="1" x14ac:dyDescent="0.3">
      <c r="A102" s="21" t="s">
        <v>165</v>
      </c>
      <c r="B102" s="136">
        <f>((($B$80*B101)/B100)*2)+(SUM(C16,C18,C20,C22,)*0.155)</f>
        <v>22.933333333333334</v>
      </c>
      <c r="C102" s="106" t="s">
        <v>152</v>
      </c>
      <c r="D102" s="26"/>
    </row>
    <row r="103" spans="1:13" ht="14.4" customHeight="1" thickBot="1" x14ac:dyDescent="0.35">
      <c r="A103" s="22" t="s">
        <v>166</v>
      </c>
      <c r="B103" s="135">
        <f>B102/2</f>
        <v>11.466666666666667</v>
      </c>
      <c r="C103" s="108" t="s">
        <v>152</v>
      </c>
      <c r="D103" s="26"/>
    </row>
    <row r="104" spans="1:13" ht="14.4" customHeight="1" thickBot="1" x14ac:dyDescent="0.35">
      <c r="A104" s="146" t="s">
        <v>167</v>
      </c>
      <c r="B104" s="147">
        <f>$B$85/$B$103</f>
        <v>0.6017441860465117</v>
      </c>
      <c r="C104" s="147" t="s">
        <v>9</v>
      </c>
      <c r="D104" s="26"/>
    </row>
    <row r="105" spans="1:13" ht="14.4" customHeight="1" thickBot="1" x14ac:dyDescent="0.35">
      <c r="A105" s="8" t="s">
        <v>133</v>
      </c>
      <c r="B105" s="127"/>
      <c r="C105" s="128"/>
      <c r="D105" s="26"/>
    </row>
    <row r="106" spans="1:13" ht="14.4" customHeight="1" thickBot="1" x14ac:dyDescent="0.35">
      <c r="A106" s="8" t="s">
        <v>134</v>
      </c>
      <c r="B106" s="128"/>
      <c r="C106" s="138" t="str">
        <f>IF($B$84&gt;0.4,"FAIL",IF($B$104&gt;=$B$84,"OK","FAIL"))</f>
        <v>OK</v>
      </c>
      <c r="D106" s="26"/>
      <c r="G106" s="130" t="str">
        <f>IF($B$84&gt;0.4,"Error: The Loop Current is upper that Maximum Current allowed",IF($B$104&lt;$B$84,"Error: The Loop Current is upper that Maximum Current allowed",""))</f>
        <v/>
      </c>
    </row>
    <row r="107" spans="1:13" ht="14.4" customHeight="1" thickBot="1" x14ac:dyDescent="0.35">
      <c r="A107" s="8" t="s">
        <v>135</v>
      </c>
      <c r="B107" s="128"/>
      <c r="C107" s="137" t="str">
        <f>IF($M$76&lt;=250,"OK","FAIL")</f>
        <v>OK</v>
      </c>
      <c r="D107" s="26"/>
      <c r="G107" s="130" t="str">
        <f>IF($M$76&gt;250,"Error: The Loop cannot contain more than 250 addresses","")</f>
        <v/>
      </c>
    </row>
    <row r="108" spans="1:13" ht="14.4" customHeight="1" x14ac:dyDescent="0.3">
      <c r="A108" s="13"/>
      <c r="B108" s="13"/>
      <c r="F108" s="26"/>
    </row>
    <row r="110" spans="1:13" ht="27" customHeight="1" x14ac:dyDescent="0.25">
      <c r="A110" s="225" t="s">
        <v>13</v>
      </c>
      <c r="B110" s="225"/>
      <c r="C110" s="225"/>
      <c r="D110" s="225"/>
      <c r="E110" s="225"/>
      <c r="F110" s="225"/>
      <c r="G110" s="225"/>
      <c r="H110" s="225"/>
      <c r="I110" s="225"/>
      <c r="J110" s="225"/>
      <c r="K110" s="225"/>
      <c r="L110" s="225"/>
      <c r="M110" s="225"/>
    </row>
  </sheetData>
  <sheetProtection algorithmName="SHA-512" hashValue="c/mWPUPXFitjSZsJPKQbzViSvrPJsuxTH5qeDWwMXgLzH5RXE2JqVTDW8+b3W5IAAXsqq1gmO/OTW5W20YM6Hg==" saltValue="6Tvb4n/JRrdbrLkbV7VXHw==" spinCount="100000" sheet="1" sort="0" autoFilter="0" pivotTables="0"/>
  <mergeCells count="5">
    <mergeCell ref="K7:L7"/>
    <mergeCell ref="H8:J9"/>
    <mergeCell ref="K8:L8"/>
    <mergeCell ref="K9:L9"/>
    <mergeCell ref="A110:M110"/>
  </mergeCells>
  <conditionalFormatting sqref="B89:J90">
    <cfRule type="containsErrors" dxfId="101" priority="5">
      <formula>ISERROR(B89)</formula>
    </cfRule>
  </conditionalFormatting>
  <conditionalFormatting sqref="B91:J91">
    <cfRule type="containsErrors" dxfId="100" priority="3">
      <formula>ISERROR(B91)</formula>
    </cfRule>
  </conditionalFormatting>
  <conditionalFormatting sqref="B95:J96">
    <cfRule type="containsErrors" dxfId="99" priority="4">
      <formula>ISERROR(B95)</formula>
    </cfRule>
  </conditionalFormatting>
  <conditionalFormatting sqref="B97:J97">
    <cfRule type="containsErrors" dxfId="98" priority="1">
      <formula>ISERROR(B97)</formula>
    </cfRule>
  </conditionalFormatting>
  <conditionalFormatting sqref="C106:C107">
    <cfRule type="cellIs" dxfId="97" priority="6" stopIfTrue="1" operator="equal">
      <formula>"FAIL"</formula>
    </cfRule>
  </conditionalFormatting>
  <conditionalFormatting sqref="K15:K75">
    <cfRule type="cellIs" dxfId="96" priority="8" operator="equal">
      <formula>0</formula>
    </cfRule>
  </conditionalFormatting>
  <conditionalFormatting sqref="M8:M9">
    <cfRule type="cellIs" dxfId="95" priority="24" stopIfTrue="1" operator="equal">
      <formula>"FAIL"</formula>
    </cfRule>
  </conditionalFormatting>
  <conditionalFormatting sqref="O34:O35 O56 O58 O60 O62 O64:O65">
    <cfRule type="expression" dxfId="94" priority="11" stopIfTrue="1">
      <formula>$B$38&gt;2</formula>
    </cfRule>
    <cfRule type="expression" dxfId="93" priority="12" stopIfTrue="1">
      <formula>$B$38&lt;3</formula>
    </cfRule>
  </conditionalFormatting>
  <conditionalFormatting sqref="O35:O36">
    <cfRule type="expression" dxfId="92" priority="17" stopIfTrue="1">
      <formula>$B$37&gt;4</formula>
    </cfRule>
    <cfRule type="expression" dxfId="91" priority="18" stopIfTrue="1">
      <formula>$B$37&lt;5</formula>
    </cfRule>
  </conditionalFormatting>
  <conditionalFormatting sqref="O37:O43">
    <cfRule type="expression" dxfId="90" priority="13" stopIfTrue="1">
      <formula>$B$38&gt;2</formula>
    </cfRule>
    <cfRule type="expression" dxfId="89" priority="14" stopIfTrue="1">
      <formula>$B$38&lt;3</formula>
    </cfRule>
  </conditionalFormatting>
  <conditionalFormatting sqref="O54">
    <cfRule type="expression" dxfId="88" priority="9" stopIfTrue="1">
      <formula>$B$38&gt;2</formula>
    </cfRule>
    <cfRule type="expression" dxfId="87" priority="10" stopIfTrue="1">
      <formula>$B$38&lt;3</formula>
    </cfRule>
  </conditionalFormatting>
  <conditionalFormatting sqref="O68">
    <cfRule type="expression" dxfId="86" priority="15" stopIfTrue="1">
      <formula>$B$37&gt;4</formula>
    </cfRule>
    <cfRule type="expression" dxfId="85" priority="16" stopIfTrue="1">
      <formula>$B$37&lt;5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3F7D908-CAE3-4F8A-80BC-0AFB289B28F5}">
          <x14:formula1>
            <xm:f>Datos!$F$16:$F$21</xm:f>
          </x14:formula1>
          <xm:sqref>B8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7CDE0-1CFB-4D75-BFB7-59859B7709E5}">
  <sheetPr codeName="Hoja6">
    <pageSetUpPr fitToPage="1"/>
  </sheetPr>
  <dimension ref="A1:O110"/>
  <sheetViews>
    <sheetView zoomScale="120" zoomScaleNormal="120" workbookViewId="0">
      <pane ySplit="14" topLeftCell="A74" activePane="bottomLeft" state="frozen"/>
      <selection pane="bottomLeft" activeCell="B75" sqref="B75"/>
    </sheetView>
  </sheetViews>
  <sheetFormatPr baseColWidth="10" defaultRowHeight="12.5" x14ac:dyDescent="0.25"/>
  <cols>
    <col min="1" max="1" width="31.1796875" customWidth="1"/>
    <col min="2" max="2" width="18.90625" customWidth="1"/>
    <col min="3" max="3" width="10.6328125" customWidth="1"/>
    <col min="4" max="4" width="11.08984375" hidden="1" customWidth="1"/>
    <col min="5" max="5" width="12.81640625" bestFit="1" customWidth="1"/>
    <col min="6" max="7" width="10.6328125" hidden="1" customWidth="1"/>
    <col min="8" max="8" width="10.54296875" bestFit="1" customWidth="1"/>
    <col min="9" max="9" width="10.6328125" customWidth="1"/>
    <col min="10" max="10" width="5.54296875" bestFit="1" customWidth="1"/>
    <col min="11" max="11" width="7" customWidth="1"/>
    <col min="12" max="12" width="6.453125" customWidth="1"/>
    <col min="13" max="13" width="6.54296875" customWidth="1"/>
    <col min="15" max="17" width="11.54296875" customWidth="1"/>
  </cols>
  <sheetData>
    <row r="1" spans="1:15" x14ac:dyDescent="0.25">
      <c r="I1" s="1"/>
      <c r="J1" s="2"/>
      <c r="K1" s="2"/>
      <c r="L1" s="2"/>
    </row>
    <row r="2" spans="1:15" x14ac:dyDescent="0.25">
      <c r="I2" s="1"/>
      <c r="J2" s="2"/>
      <c r="K2" s="2"/>
      <c r="L2" s="2"/>
    </row>
    <row r="3" spans="1:15" ht="14.5" x14ac:dyDescent="0.35">
      <c r="A3" s="3"/>
      <c r="B3" s="3"/>
      <c r="I3" s="1"/>
      <c r="J3" s="2"/>
      <c r="K3" s="2"/>
      <c r="L3" s="2"/>
    </row>
    <row r="4" spans="1:15" ht="14.5" x14ac:dyDescent="0.35">
      <c r="A4" s="3"/>
      <c r="B4" s="3"/>
      <c r="I4" s="1"/>
      <c r="J4" s="2"/>
      <c r="K4" s="2"/>
      <c r="L4" s="2"/>
    </row>
    <row r="5" spans="1:15" s="7" customFormat="1" ht="13.5" thickBot="1" x14ac:dyDescent="0.35">
      <c r="A5" s="4" t="str">
        <f>'System Calculation'!A7</f>
        <v>SYSTEM CALCULATOR DETNOV CAD-150 EXCEL TOOL</v>
      </c>
      <c r="B5" s="4"/>
      <c r="C5" s="4"/>
      <c r="D5" s="4"/>
      <c r="E5" s="4"/>
      <c r="F5" s="4"/>
      <c r="G5" s="4"/>
      <c r="H5" s="4"/>
      <c r="I5" s="6"/>
      <c r="J5" s="5"/>
      <c r="K5" s="5"/>
      <c r="L5" s="5"/>
      <c r="M5" s="12" t="str">
        <f>'System Calculation'!J7</f>
        <v>SC 116 en 2019 i</v>
      </c>
    </row>
    <row r="6" spans="1:15" s="7" customFormat="1" ht="13.5" thickBot="1" x14ac:dyDescent="0.35">
      <c r="I6" s="29"/>
      <c r="J6" s="30"/>
      <c r="K6" s="30"/>
      <c r="L6" s="30"/>
      <c r="M6" s="31"/>
    </row>
    <row r="7" spans="1:15" s="7" customFormat="1" ht="13.5" thickBot="1" x14ac:dyDescent="0.35">
      <c r="A7" s="15" t="s">
        <v>62</v>
      </c>
      <c r="B7" s="99"/>
      <c r="C7" s="100"/>
      <c r="I7" s="29"/>
      <c r="K7" s="226" t="s">
        <v>133</v>
      </c>
      <c r="L7" s="230"/>
      <c r="M7" s="118"/>
      <c r="N7" s="31"/>
    </row>
    <row r="8" spans="1:15" s="7" customFormat="1" ht="13.5" thickBot="1" x14ac:dyDescent="0.35">
      <c r="A8" s="96" t="s">
        <v>128</v>
      </c>
      <c r="B8" s="203">
        <v>1.5</v>
      </c>
      <c r="C8" s="222">
        <f>VLOOKUP($B$8,Datos!$F$16:$G$21,2,FALSE)</f>
        <v>16</v>
      </c>
      <c r="D8" s="207"/>
      <c r="E8" s="207"/>
      <c r="F8" s="204"/>
      <c r="G8" s="13"/>
      <c r="H8" s="231" t="str">
        <f>IF(B9&gt;3500,"Error: The Maximum Lenght in the Line is 3500 m","")</f>
        <v/>
      </c>
      <c r="I8" s="231"/>
      <c r="J8" s="232"/>
      <c r="K8" s="226" t="s">
        <v>134</v>
      </c>
      <c r="L8" s="227"/>
      <c r="M8" s="138" t="str">
        <f>IF($B$84&gt;0.4,"FAIL",IF($B$104&gt;=$B$84,"OK","FAIL"))</f>
        <v>OK</v>
      </c>
      <c r="O8" s="130" t="str">
        <f>IF($B$84&gt;0.4,"Error: The Loop Current is upper that Maximum Current allowed",IF($B$104&lt;$B$84,"Error: The Loop Current is upper that Maximum Current allowed",""))</f>
        <v/>
      </c>
    </row>
    <row r="9" spans="1:15" s="7" customFormat="1" ht="13.5" thickBot="1" x14ac:dyDescent="0.35">
      <c r="A9" s="22" t="s">
        <v>129</v>
      </c>
      <c r="B9" s="101">
        <v>1000</v>
      </c>
      <c r="C9" s="28" t="s">
        <v>131</v>
      </c>
      <c r="D9" s="13"/>
      <c r="E9" s="13"/>
      <c r="F9" s="13"/>
      <c r="G9" s="13"/>
      <c r="H9" s="231"/>
      <c r="I9" s="231"/>
      <c r="J9" s="232"/>
      <c r="K9" s="228" t="s">
        <v>135</v>
      </c>
      <c r="L9" s="229"/>
      <c r="M9" s="137" t="str">
        <f>IF($M$76&lt;=250,"OK","FAIL")</f>
        <v>OK</v>
      </c>
      <c r="O9" s="130" t="str">
        <f>IF($M$76&gt;250,"Error: The Loop cannot contain more than 250 addresses","")</f>
        <v/>
      </c>
    </row>
    <row r="10" spans="1:15" s="7" customFormat="1" ht="13" x14ac:dyDescent="0.3">
      <c r="A10" s="129" t="s">
        <v>149</v>
      </c>
      <c r="B10" s="129"/>
      <c r="I10" s="29"/>
      <c r="J10" s="30"/>
      <c r="K10" s="30"/>
      <c r="L10" s="30"/>
      <c r="M10" s="31"/>
    </row>
    <row r="11" spans="1:15" s="7" customFormat="1" ht="13" x14ac:dyDescent="0.3">
      <c r="A11" s="129"/>
      <c r="B11" s="129"/>
      <c r="I11" s="29"/>
      <c r="J11" s="30"/>
      <c r="K11" s="30"/>
      <c r="L11" s="30"/>
      <c r="M11" s="31"/>
    </row>
    <row r="12" spans="1:15" ht="13.5" thickBot="1" x14ac:dyDescent="0.35">
      <c r="C12" s="11" t="s">
        <v>10</v>
      </c>
      <c r="D12" s="11" t="s">
        <v>10</v>
      </c>
    </row>
    <row r="13" spans="1:15" ht="13.5" thickBot="1" x14ac:dyDescent="0.35">
      <c r="A13" s="8" t="s">
        <v>174</v>
      </c>
      <c r="B13" s="9"/>
      <c r="C13" s="9"/>
      <c r="D13" s="9"/>
      <c r="E13" s="9"/>
      <c r="F13" s="9"/>
      <c r="G13" s="9"/>
      <c r="H13" s="9"/>
      <c r="I13" s="127"/>
      <c r="J13" s="127"/>
      <c r="K13" s="127"/>
      <c r="L13" s="127"/>
      <c r="M13" s="128"/>
    </row>
    <row r="14" spans="1:15" s="7" customFormat="1" ht="13.5" thickBot="1" x14ac:dyDescent="0.35">
      <c r="A14" s="215" t="s">
        <v>0</v>
      </c>
      <c r="B14" s="216" t="s">
        <v>223</v>
      </c>
      <c r="C14" s="217" t="s">
        <v>1</v>
      </c>
      <c r="D14" s="217" t="s">
        <v>38</v>
      </c>
      <c r="E14" s="217" t="s">
        <v>38</v>
      </c>
      <c r="F14" s="217" t="s">
        <v>109</v>
      </c>
      <c r="G14" s="217" t="s">
        <v>39</v>
      </c>
      <c r="H14" s="217" t="s">
        <v>39</v>
      </c>
      <c r="I14" s="99" t="s">
        <v>132</v>
      </c>
      <c r="J14" s="99" t="s">
        <v>145</v>
      </c>
      <c r="K14" s="99" t="s">
        <v>146</v>
      </c>
      <c r="L14" s="99" t="s">
        <v>147</v>
      </c>
      <c r="M14" s="100" t="s">
        <v>148</v>
      </c>
    </row>
    <row r="15" spans="1:15" ht="25" x14ac:dyDescent="0.25">
      <c r="A15" s="115" t="str">
        <f>'SC_Loop 1'!A15</f>
        <v>DOD-220A</v>
      </c>
      <c r="B15" s="208" t="str">
        <f>'SC_Loop 1'!B15</f>
        <v>Addressable smoke detector</v>
      </c>
      <c r="C15" s="97"/>
      <c r="D15" s="214">
        <f>'SC_Loop 1'!D15</f>
        <v>1.272E-4</v>
      </c>
      <c r="E15" s="116">
        <f>C15*D15</f>
        <v>0</v>
      </c>
      <c r="F15" s="200">
        <f>IF(C15&gt;10,10,C15)</f>
        <v>0</v>
      </c>
      <c r="G15" s="214">
        <f>'SC_Loop 1'!G15</f>
        <v>3.6099999999999999E-3</v>
      </c>
      <c r="H15" s="116">
        <f>F15*G15</f>
        <v>0</v>
      </c>
      <c r="I15" s="41"/>
      <c r="J15" s="41" t="str">
        <f t="shared" ref="J15:J27" si="0">IF(C15&lt;&gt;0,C15," ")</f>
        <v xml:space="preserve"> </v>
      </c>
      <c r="K15" s="41"/>
      <c r="L15" s="41"/>
      <c r="M15" s="117" t="str">
        <f>IF(J15&lt;&gt;0,J15," ")</f>
        <v xml:space="preserve"> </v>
      </c>
    </row>
    <row r="16" spans="1:15" ht="25" x14ac:dyDescent="0.25">
      <c r="A16" s="115" t="str">
        <f>'SC_Loop 1'!A16</f>
        <v>DOD-220A-I</v>
      </c>
      <c r="B16" s="208" t="str">
        <f>'SC_Loop 1'!B16</f>
        <v>Addressable smoke detector with isolator</v>
      </c>
      <c r="C16" s="97"/>
      <c r="D16" s="20">
        <f>'SC_Loop 1'!D16</f>
        <v>1.9580000000000002E-4</v>
      </c>
      <c r="E16" s="57">
        <f>C16*D16</f>
        <v>0</v>
      </c>
      <c r="F16" s="200">
        <f t="shared" ref="F16:F22" si="1">IF(C16&gt;10,10,C16)</f>
        <v>0</v>
      </c>
      <c r="G16" s="20">
        <f>'SC_Loop 1'!G16</f>
        <v>3.7400000000000003E-3</v>
      </c>
      <c r="H16" s="57">
        <f>F16*G16</f>
        <v>0</v>
      </c>
      <c r="I16" s="49"/>
      <c r="J16" s="49" t="str">
        <f t="shared" si="0"/>
        <v xml:space="preserve"> </v>
      </c>
      <c r="K16" s="49"/>
      <c r="L16" s="49"/>
      <c r="M16" s="106" t="str">
        <f>IF(J16&lt;&gt;0,J16," ")</f>
        <v xml:space="preserve"> </v>
      </c>
    </row>
    <row r="17" spans="1:13" ht="25" x14ac:dyDescent="0.25">
      <c r="A17" s="115" t="str">
        <f>'SC_Loop 1'!A17</f>
        <v>DOTD-230A</v>
      </c>
      <c r="B17" s="208" t="str">
        <f>'SC_Loop 1'!B17</f>
        <v>Addressable smoke and heat detector</v>
      </c>
      <c r="C17" s="97"/>
      <c r="D17" s="20">
        <f>'SC_Loop 1'!D17</f>
        <v>1.416E-4</v>
      </c>
      <c r="E17" s="57">
        <f t="shared" ref="E17:E75" si="2">C17*D17</f>
        <v>0</v>
      </c>
      <c r="F17" s="200">
        <f t="shared" si="1"/>
        <v>0</v>
      </c>
      <c r="G17" s="20">
        <f>'SC_Loop 1'!G17</f>
        <v>3.6000000000000003E-3</v>
      </c>
      <c r="H17" s="57">
        <f t="shared" ref="H17:H75" si="3">F17*G17</f>
        <v>0</v>
      </c>
      <c r="I17" s="49"/>
      <c r="J17" s="49" t="str">
        <f t="shared" si="0"/>
        <v xml:space="preserve"> </v>
      </c>
      <c r="K17" s="49"/>
      <c r="L17" s="49"/>
      <c r="M17" s="106" t="str">
        <f t="shared" ref="M17:M70" si="4">IF(J17&lt;&gt;0,J17," ")</f>
        <v xml:space="preserve"> </v>
      </c>
    </row>
    <row r="18" spans="1:13" ht="37.5" x14ac:dyDescent="0.25">
      <c r="A18" s="115" t="str">
        <f>'SC_Loop 1'!A18</f>
        <v>DOTD-230A-I</v>
      </c>
      <c r="B18" s="208" t="str">
        <f>'SC_Loop 1'!B18</f>
        <v>Addressable smoke and heat detector with isolator</v>
      </c>
      <c r="C18" s="97"/>
      <c r="D18" s="20">
        <f>'SC_Loop 1'!D18</f>
        <v>2.1239999999999999E-4</v>
      </c>
      <c r="E18" s="57">
        <f t="shared" si="2"/>
        <v>0</v>
      </c>
      <c r="F18" s="200">
        <f t="shared" si="1"/>
        <v>0</v>
      </c>
      <c r="G18" s="20">
        <f>'SC_Loop 1'!G18</f>
        <v>3.7400000000000003E-3</v>
      </c>
      <c r="H18" s="57">
        <f t="shared" si="3"/>
        <v>0</v>
      </c>
      <c r="I18" s="49"/>
      <c r="J18" s="49" t="str">
        <f t="shared" si="0"/>
        <v xml:space="preserve"> </v>
      </c>
      <c r="K18" s="49"/>
      <c r="L18" s="49"/>
      <c r="M18" s="106" t="str">
        <f t="shared" si="4"/>
        <v xml:space="preserve"> </v>
      </c>
    </row>
    <row r="19" spans="1:13" ht="25" x14ac:dyDescent="0.25">
      <c r="A19" s="115" t="str">
        <f>'SC_Loop 1'!A19</f>
        <v>DTD-210A</v>
      </c>
      <c r="B19" s="208" t="str">
        <f>'SC_Loop 1'!B19</f>
        <v>Addressable heat detector</v>
      </c>
      <c r="C19" s="97"/>
      <c r="D19" s="20">
        <f>'SC_Loop 1'!D19</f>
        <v>1.2219999999999999E-4</v>
      </c>
      <c r="E19" s="57">
        <f t="shared" si="2"/>
        <v>0</v>
      </c>
      <c r="F19" s="200">
        <f t="shared" si="1"/>
        <v>0</v>
      </c>
      <c r="G19" s="20">
        <f>'SC_Loop 1'!G19</f>
        <v>3.64E-3</v>
      </c>
      <c r="H19" s="57">
        <f t="shared" si="3"/>
        <v>0</v>
      </c>
      <c r="I19" s="49"/>
      <c r="J19" s="49" t="str">
        <f t="shared" si="0"/>
        <v xml:space="preserve"> </v>
      </c>
      <c r="K19" s="49"/>
      <c r="L19" s="49"/>
      <c r="M19" s="106" t="str">
        <f t="shared" si="4"/>
        <v xml:space="preserve"> </v>
      </c>
    </row>
    <row r="20" spans="1:13" ht="25" x14ac:dyDescent="0.25">
      <c r="A20" s="115" t="str">
        <f>'SC_Loop 1'!A20</f>
        <v>DTD-210A-I</v>
      </c>
      <c r="B20" s="208" t="str">
        <f>'SC_Loop 1'!B20</f>
        <v>Addressable heat detector with isolator</v>
      </c>
      <c r="C20" s="97"/>
      <c r="D20" s="20">
        <f>'SC_Loop 1'!D20</f>
        <v>1.9239999999999999E-4</v>
      </c>
      <c r="E20" s="57">
        <f t="shared" si="2"/>
        <v>0</v>
      </c>
      <c r="F20" s="200">
        <f t="shared" si="1"/>
        <v>0</v>
      </c>
      <c r="G20" s="20">
        <f>'SC_Loop 1'!G20</f>
        <v>3.7599999999999999E-3</v>
      </c>
      <c r="H20" s="57">
        <f t="shared" si="3"/>
        <v>0</v>
      </c>
      <c r="I20" s="49"/>
      <c r="J20" s="49" t="str">
        <f t="shared" si="0"/>
        <v xml:space="preserve"> </v>
      </c>
      <c r="K20" s="49"/>
      <c r="L20" s="49"/>
      <c r="M20" s="106" t="str">
        <f t="shared" si="4"/>
        <v xml:space="preserve"> </v>
      </c>
    </row>
    <row r="21" spans="1:13" ht="25" x14ac:dyDescent="0.25">
      <c r="A21" s="115" t="str">
        <f>'SC_Loop 1'!A21</f>
        <v>DTD-215A</v>
      </c>
      <c r="B21" s="208" t="str">
        <f>'SC_Loop 1'!B21</f>
        <v>Addressable high temperature detector</v>
      </c>
      <c r="C21" s="97"/>
      <c r="D21" s="20">
        <f>'SC_Loop 1'!D21</f>
        <v>1.3369999999999997E-4</v>
      </c>
      <c r="E21" s="57">
        <f t="shared" si="2"/>
        <v>0</v>
      </c>
      <c r="F21" s="200">
        <f t="shared" si="1"/>
        <v>0</v>
      </c>
      <c r="G21" s="20">
        <f>'SC_Loop 1'!G21</f>
        <v>3.7799999999999999E-3</v>
      </c>
      <c r="H21" s="57">
        <f t="shared" si="3"/>
        <v>0</v>
      </c>
      <c r="I21" s="49"/>
      <c r="J21" s="49" t="str">
        <f t="shared" si="0"/>
        <v xml:space="preserve"> </v>
      </c>
      <c r="K21" s="49"/>
      <c r="L21" s="49"/>
      <c r="M21" s="106" t="str">
        <f t="shared" si="4"/>
        <v xml:space="preserve"> </v>
      </c>
    </row>
    <row r="22" spans="1:13" ht="37.5" x14ac:dyDescent="0.25">
      <c r="A22" s="115" t="str">
        <f>'SC_Loop 1'!A22</f>
        <v>DTD-215A-I</v>
      </c>
      <c r="B22" s="208" t="str">
        <f>'SC_Loop 1'!B22</f>
        <v>Addressable high temperature detector with isolator</v>
      </c>
      <c r="C22" s="97"/>
      <c r="D22" s="20">
        <f>'SC_Loop 1'!D22</f>
        <v>2.0349999999999999E-4</v>
      </c>
      <c r="E22" s="57">
        <f t="shared" si="2"/>
        <v>0</v>
      </c>
      <c r="F22" s="200">
        <f t="shared" si="1"/>
        <v>0</v>
      </c>
      <c r="G22" s="20">
        <f>'SC_Loop 1'!G22</f>
        <v>3.7699999999999999E-3</v>
      </c>
      <c r="H22" s="57">
        <f t="shared" si="3"/>
        <v>0</v>
      </c>
      <c r="I22" s="49"/>
      <c r="J22" s="49" t="str">
        <f t="shared" si="0"/>
        <v xml:space="preserve"> </v>
      </c>
      <c r="K22" s="49"/>
      <c r="L22" s="49"/>
      <c r="M22" s="106" t="str">
        <f t="shared" si="4"/>
        <v xml:space="preserve"> </v>
      </c>
    </row>
    <row r="23" spans="1:13" ht="25" x14ac:dyDescent="0.25">
      <c r="A23" s="115" t="str">
        <f>'SC_Loop 1'!A23</f>
        <v>DGD-600</v>
      </c>
      <c r="B23" s="208" t="str">
        <f>'SC_Loop 1'!B23</f>
        <v>Stand-alone natural gas detector (24V)</v>
      </c>
      <c r="C23" s="97"/>
      <c r="D23" s="20">
        <f>'SC_Loop 1'!D23</f>
        <v>2.1800000000000001E-3</v>
      </c>
      <c r="E23" s="57">
        <f t="shared" si="2"/>
        <v>0</v>
      </c>
      <c r="F23" s="200">
        <f>IF(C23&gt;10,10,C23)</f>
        <v>0</v>
      </c>
      <c r="G23" s="20">
        <f>'SC_Loop 1'!G23</f>
        <v>2.2200000000000002E-3</v>
      </c>
      <c r="H23" s="57">
        <f t="shared" si="3"/>
        <v>0</v>
      </c>
      <c r="I23" s="49"/>
      <c r="J23" s="49" t="str">
        <f t="shared" si="0"/>
        <v xml:space="preserve"> </v>
      </c>
      <c r="K23" s="49"/>
      <c r="L23" s="49"/>
      <c r="M23" s="106" t="str">
        <f t="shared" si="4"/>
        <v xml:space="preserve"> </v>
      </c>
    </row>
    <row r="24" spans="1:13" ht="25" x14ac:dyDescent="0.25">
      <c r="A24" s="115" t="str">
        <f>'SC_Loop 1'!A24</f>
        <v>DGD-600-AC</v>
      </c>
      <c r="B24" s="208" t="str">
        <f>'SC_Loop 1'!B24</f>
        <v>Stand-alone natural gas detector (230V)</v>
      </c>
      <c r="C24" s="97"/>
      <c r="D24" s="20">
        <f>'SC_Loop 1'!D24</f>
        <v>2.5999999999999999E-3</v>
      </c>
      <c r="E24" s="57">
        <f t="shared" si="2"/>
        <v>0</v>
      </c>
      <c r="F24" s="200">
        <f t="shared" ref="F24:F26" si="5">IF(C24&gt;10,10,C24)</f>
        <v>0</v>
      </c>
      <c r="G24" s="20">
        <f>'SC_Loop 1'!G24</f>
        <v>3.16E-3</v>
      </c>
      <c r="H24" s="57">
        <f t="shared" si="3"/>
        <v>0</v>
      </c>
      <c r="I24" s="49"/>
      <c r="J24" s="49" t="str">
        <f t="shared" si="0"/>
        <v xml:space="preserve"> </v>
      </c>
      <c r="K24" s="49"/>
      <c r="L24" s="49"/>
      <c r="M24" s="106" t="str">
        <f t="shared" si="4"/>
        <v xml:space="preserve"> </v>
      </c>
    </row>
    <row r="25" spans="1:13" ht="25" x14ac:dyDescent="0.25">
      <c r="A25" s="115" t="str">
        <f>'SC_Loop 1'!A25</f>
        <v>DGD-620</v>
      </c>
      <c r="B25" s="208" t="str">
        <f>'SC_Loop 1'!B25</f>
        <v>Stand-alone LPG detector (24V)</v>
      </c>
      <c r="C25" s="97"/>
      <c r="D25" s="20">
        <f>'SC_Loop 1'!D25</f>
        <v>2.1800000000000001E-3</v>
      </c>
      <c r="E25" s="57">
        <f t="shared" si="2"/>
        <v>0</v>
      </c>
      <c r="F25" s="200">
        <f t="shared" si="5"/>
        <v>0</v>
      </c>
      <c r="G25" s="20">
        <f>'SC_Loop 1'!G25</f>
        <v>2.2200000000000002E-3</v>
      </c>
      <c r="H25" s="57">
        <f t="shared" si="3"/>
        <v>0</v>
      </c>
      <c r="I25" s="49"/>
      <c r="J25" s="49" t="str">
        <f t="shared" si="0"/>
        <v xml:space="preserve"> </v>
      </c>
      <c r="K25" s="49"/>
      <c r="L25" s="49"/>
      <c r="M25" s="106" t="str">
        <f t="shared" si="4"/>
        <v xml:space="preserve"> </v>
      </c>
    </row>
    <row r="26" spans="1:13" ht="25" x14ac:dyDescent="0.25">
      <c r="A26" s="115" t="str">
        <f>'SC_Loop 1'!A26</f>
        <v>DGD-620-AC</v>
      </c>
      <c r="B26" s="208" t="str">
        <f>'SC_Loop 1'!B26</f>
        <v>Stand-alone LPG detector (230V)</v>
      </c>
      <c r="C26" s="97"/>
      <c r="D26" s="20">
        <f>'SC_Loop 1'!D26</f>
        <v>2.5999999999999999E-3</v>
      </c>
      <c r="E26" s="57">
        <f t="shared" si="2"/>
        <v>0</v>
      </c>
      <c r="F26" s="200">
        <f t="shared" si="5"/>
        <v>0</v>
      </c>
      <c r="G26" s="20">
        <f>'SC_Loop 1'!G26</f>
        <v>3.16E-3</v>
      </c>
      <c r="H26" s="57">
        <f t="shared" si="3"/>
        <v>0</v>
      </c>
      <c r="I26" s="49"/>
      <c r="J26" s="49" t="str">
        <f t="shared" si="0"/>
        <v xml:space="preserve"> </v>
      </c>
      <c r="K26" s="49"/>
      <c r="L26" s="49"/>
      <c r="M26" s="106" t="str">
        <f t="shared" si="4"/>
        <v xml:space="preserve"> </v>
      </c>
    </row>
    <row r="27" spans="1:13" ht="25" x14ac:dyDescent="0.25">
      <c r="A27" s="115" t="str">
        <f>'SC_Loop 1'!A27</f>
        <v>DBD-70A</v>
      </c>
      <c r="B27" s="208" t="str">
        <f>'SC_Loop 1'!B27</f>
        <v>Addressable lineal smoke detector</v>
      </c>
      <c r="C27" s="97"/>
      <c r="D27" s="20">
        <f>'SC_Loop 1'!D27</f>
        <v>3.7999999999999999E-2</v>
      </c>
      <c r="E27" s="57">
        <f t="shared" si="2"/>
        <v>0</v>
      </c>
      <c r="F27" s="200">
        <f>C27</f>
        <v>0</v>
      </c>
      <c r="G27" s="20">
        <f>'SC_Loop 1'!G27</f>
        <v>3.7999999999999999E-2</v>
      </c>
      <c r="H27" s="57">
        <f t="shared" si="3"/>
        <v>0</v>
      </c>
      <c r="I27" s="49"/>
      <c r="J27" s="49" t="str">
        <f t="shared" si="0"/>
        <v xml:space="preserve"> </v>
      </c>
      <c r="K27" s="49"/>
      <c r="L27" s="49"/>
      <c r="M27" s="106" t="str">
        <f t="shared" si="4"/>
        <v xml:space="preserve"> </v>
      </c>
    </row>
    <row r="28" spans="1:13" ht="25" x14ac:dyDescent="0.25">
      <c r="A28" s="115" t="str">
        <f>'SC_Loop 1'!A28</f>
        <v>MAD-401 &amp; MAD-401-I</v>
      </c>
      <c r="B28" s="208" t="str">
        <f>'SC_Loop 1'!B28</f>
        <v>1 output addressable module</v>
      </c>
      <c r="C28" s="97"/>
      <c r="D28" s="20">
        <f>'SC_Loop 1'!D28</f>
        <v>2.1680000000000001E-4</v>
      </c>
      <c r="E28" s="57">
        <f t="shared" si="2"/>
        <v>0</v>
      </c>
      <c r="F28" s="199">
        <f>C28*'System Calculation'!$I$14</f>
        <v>0</v>
      </c>
      <c r="G28" s="20">
        <f>'SC_Loop 1'!G28</f>
        <v>3.0600000000000002E-3</v>
      </c>
      <c r="H28" s="57">
        <f t="shared" si="3"/>
        <v>0</v>
      </c>
      <c r="I28" s="49"/>
      <c r="J28" s="49"/>
      <c r="K28" s="49" t="str">
        <f>IF(C28&lt;&gt;0,C28," ")</f>
        <v xml:space="preserve"> </v>
      </c>
      <c r="L28" s="49"/>
      <c r="M28" s="106" t="str">
        <f>IF(K28&lt;&gt;0,K28," ")</f>
        <v xml:space="preserve"> </v>
      </c>
    </row>
    <row r="29" spans="1:13" ht="25" x14ac:dyDescent="0.25">
      <c r="A29" s="115" t="str">
        <f>'SC_Loop 1'!A29</f>
        <v>MAD-402 &amp; MAD-402-I</v>
      </c>
      <c r="B29" s="208" t="str">
        <f>'SC_Loop 1'!B29</f>
        <v>2 outputs addressable module</v>
      </c>
      <c r="C29" s="97"/>
      <c r="D29" s="20">
        <f>'SC_Loop 1'!D29</f>
        <v>2.174E-4</v>
      </c>
      <c r="E29" s="57">
        <f t="shared" si="2"/>
        <v>0</v>
      </c>
      <c r="F29" s="199">
        <f>C29*'System Calculation'!$I$14</f>
        <v>0</v>
      </c>
      <c r="G29" s="20">
        <f>'SC_Loop 1'!G29</f>
        <v>5.9500000000000004E-3</v>
      </c>
      <c r="H29" s="57">
        <f t="shared" si="3"/>
        <v>0</v>
      </c>
      <c r="I29" s="49"/>
      <c r="J29" s="49"/>
      <c r="K29" s="49">
        <f>IF(C29&lt;&gt;0,C29,0)</f>
        <v>0</v>
      </c>
      <c r="L29" s="49"/>
      <c r="M29" s="106" t="str">
        <f>IF(K29&lt;&gt;0,K29*2," ")</f>
        <v xml:space="preserve"> </v>
      </c>
    </row>
    <row r="30" spans="1:13" ht="25" x14ac:dyDescent="0.25">
      <c r="A30" s="115" t="str">
        <f>'SC_Loop 1'!A30</f>
        <v>MAD-405-I</v>
      </c>
      <c r="B30" s="208" t="str">
        <f>'SC_Loop 1'!B30</f>
        <v>5 outputs addressable module</v>
      </c>
      <c r="C30" s="97"/>
      <c r="D30" s="20">
        <f>'SC_Loop 1'!D30</f>
        <v>2.786E-4</v>
      </c>
      <c r="E30" s="57">
        <f t="shared" si="2"/>
        <v>0</v>
      </c>
      <c r="F30" s="199">
        <f>C30*'System Calculation'!$I$14</f>
        <v>0</v>
      </c>
      <c r="G30" s="20">
        <f>'SC_Loop 1'!G30</f>
        <v>3.15E-3</v>
      </c>
      <c r="H30" s="57">
        <f t="shared" si="3"/>
        <v>0</v>
      </c>
      <c r="I30" s="49"/>
      <c r="J30" s="49"/>
      <c r="K30" s="49">
        <f>IF(C30&lt;&gt;0,C30,0)</f>
        <v>0</v>
      </c>
      <c r="L30" s="49"/>
      <c r="M30" s="106" t="str">
        <f>IF(K30&lt;&gt;0,K30*5," ")</f>
        <v xml:space="preserve"> </v>
      </c>
    </row>
    <row r="31" spans="1:13" ht="25" x14ac:dyDescent="0.25">
      <c r="A31" s="115" t="str">
        <f>'SC_Loop 1'!A31</f>
        <v>MAD-409-I</v>
      </c>
      <c r="B31" s="208" t="str">
        <f>'SC_Loop 1'!B31</f>
        <v>10 outputs addressable module</v>
      </c>
      <c r="C31" s="97"/>
      <c r="D31" s="20">
        <f>'SC_Loop 1'!D31</f>
        <v>3.6769999999999999E-4</v>
      </c>
      <c r="E31" s="57">
        <f t="shared" si="2"/>
        <v>0</v>
      </c>
      <c r="F31" s="199">
        <f>C31*'System Calculation'!$I$14</f>
        <v>0</v>
      </c>
      <c r="G31" s="20">
        <f>'SC_Loop 1'!G31</f>
        <v>3.3E-3</v>
      </c>
      <c r="H31" s="57">
        <f t="shared" si="3"/>
        <v>0</v>
      </c>
      <c r="I31" s="49"/>
      <c r="J31" s="49"/>
      <c r="K31" s="49"/>
      <c r="L31" s="49"/>
      <c r="M31" s="106" t="str">
        <f>IF(K31&lt;&gt;0,K31*10," ")</f>
        <v xml:space="preserve"> </v>
      </c>
    </row>
    <row r="32" spans="1:13" ht="25" x14ac:dyDescent="0.25">
      <c r="A32" s="115" t="str">
        <f>'SC_Loop 1'!A32</f>
        <v>MAD-411 &amp; MAD-411-I</v>
      </c>
      <c r="B32" s="208" t="str">
        <f>'SC_Loop 1'!B32</f>
        <v>1 input addressable module</v>
      </c>
      <c r="C32" s="97"/>
      <c r="D32" s="20">
        <f>'SC_Loop 1'!D32</f>
        <v>1.916E-4</v>
      </c>
      <c r="E32" s="57">
        <f t="shared" si="2"/>
        <v>0</v>
      </c>
      <c r="F32" s="199">
        <f>C32*'System Calculation'!$I$14</f>
        <v>0</v>
      </c>
      <c r="G32" s="20">
        <f>'SC_Loop 1'!G32</f>
        <v>3.0600000000000002E-3</v>
      </c>
      <c r="H32" s="57">
        <f t="shared" si="3"/>
        <v>0</v>
      </c>
      <c r="I32" s="49"/>
      <c r="J32" s="49"/>
      <c r="K32" s="49" t="str">
        <f>IF(C32&lt;&gt;0,C32," ")</f>
        <v xml:space="preserve"> </v>
      </c>
      <c r="L32" s="49"/>
      <c r="M32" s="106" t="str">
        <f t="shared" ref="M32" si="6">IF(K32&lt;&gt;0,K32," ")</f>
        <v xml:space="preserve"> </v>
      </c>
    </row>
    <row r="33" spans="1:15" ht="25" x14ac:dyDescent="0.25">
      <c r="A33" s="115" t="str">
        <f>'SC_Loop 1'!A33</f>
        <v>MAD-412 &amp; MAD-412-I</v>
      </c>
      <c r="B33" s="208" t="str">
        <f>'SC_Loop 1'!B33</f>
        <v>2 inputs addressable module</v>
      </c>
      <c r="C33" s="97"/>
      <c r="D33" s="20">
        <f>'SC_Loop 1'!D33</f>
        <v>1.9099999999999998E-4</v>
      </c>
      <c r="E33" s="57">
        <f t="shared" si="2"/>
        <v>0</v>
      </c>
      <c r="F33" s="199">
        <f>C33*'System Calculation'!$I$14</f>
        <v>0</v>
      </c>
      <c r="G33" s="20">
        <f>'SC_Loop 1'!G33</f>
        <v>5.8399999999999997E-3</v>
      </c>
      <c r="H33" s="57">
        <f t="shared" si="3"/>
        <v>0</v>
      </c>
      <c r="I33" s="49"/>
      <c r="J33" s="49"/>
      <c r="K33" s="49">
        <f t="shared" ref="K33:K39" si="7">IF(C33&lt;&gt;0,C33,0)</f>
        <v>0</v>
      </c>
      <c r="L33" s="49"/>
      <c r="M33" s="106" t="str">
        <f>IF(K33&lt;&gt;0,K33*2," ")</f>
        <v xml:space="preserve"> </v>
      </c>
    </row>
    <row r="34" spans="1:15" ht="25" x14ac:dyDescent="0.25">
      <c r="A34" s="115" t="str">
        <f>'SC_Loop 1'!A34</f>
        <v>MAD-415-I</v>
      </c>
      <c r="B34" s="208" t="str">
        <f>'SC_Loop 1'!B34</f>
        <v>5 inputs addressable module</v>
      </c>
      <c r="C34" s="97"/>
      <c r="D34" s="20">
        <f>'SC_Loop 1'!D34</f>
        <v>1.8880000000000001E-4</v>
      </c>
      <c r="E34" s="57">
        <f t="shared" si="2"/>
        <v>0</v>
      </c>
      <c r="F34" s="199">
        <f>C34*'System Calculation'!$I$14</f>
        <v>0</v>
      </c>
      <c r="G34" s="20">
        <f>'SC_Loop 1'!G34</f>
        <v>3.9500000000000004E-3</v>
      </c>
      <c r="H34" s="57">
        <f t="shared" si="3"/>
        <v>0</v>
      </c>
      <c r="I34" s="49"/>
      <c r="J34" s="49"/>
      <c r="K34" s="49">
        <f t="shared" si="7"/>
        <v>0</v>
      </c>
      <c r="L34" s="49"/>
      <c r="M34" s="106" t="str">
        <f>IF(KJ34&lt;&gt;0,K34*5," ")</f>
        <v xml:space="preserve"> </v>
      </c>
      <c r="O34" s="13" t="str">
        <f t="shared" ref="O34" si="8">IF(AND(C34&gt;0),"Info: External 24V needed. Control Panel could provide from 24Vaux, if 500mA maximum current isn't exceeded."," ")</f>
        <v xml:space="preserve"> </v>
      </c>
    </row>
    <row r="35" spans="1:15" ht="25" x14ac:dyDescent="0.25">
      <c r="A35" s="115" t="str">
        <f>'SC_Loop 1'!A35</f>
        <v>MAD-419-I</v>
      </c>
      <c r="B35" s="208" t="str">
        <f>'SC_Loop 1'!B35</f>
        <v>10 inputs addressable module</v>
      </c>
      <c r="C35" s="97"/>
      <c r="D35" s="20">
        <f>'SC_Loop 1'!D35</f>
        <v>1.8919999999999999E-4</v>
      </c>
      <c r="E35" s="57">
        <f t="shared" si="2"/>
        <v>0</v>
      </c>
      <c r="F35" s="199">
        <f>C35*'System Calculation'!$I$14</f>
        <v>0</v>
      </c>
      <c r="G35" s="20">
        <f>'SC_Loop 1'!G35</f>
        <v>4.8399999999999997E-3</v>
      </c>
      <c r="H35" s="57">
        <f t="shared" si="3"/>
        <v>0</v>
      </c>
      <c r="I35" s="49"/>
      <c r="J35" s="49"/>
      <c r="K35" s="49">
        <f t="shared" si="7"/>
        <v>0</v>
      </c>
      <c r="L35" s="49"/>
      <c r="M35" s="106" t="str">
        <f>IF(K35&lt;&gt;0,K35*10," ")</f>
        <v xml:space="preserve"> </v>
      </c>
      <c r="O35" s="13" t="str">
        <f>IF(AND(C33&gt;0),"Info: External 24V needed. Control Panel could provide from 24Vaux, if 500mA maximum current isn't exceeded."," ")</f>
        <v xml:space="preserve"> </v>
      </c>
    </row>
    <row r="36" spans="1:15" ht="25" x14ac:dyDescent="0.25">
      <c r="A36" s="115" t="str">
        <f>'SC_Loop 1'!A36</f>
        <v>MAD-421 &amp; MAD-421-I</v>
      </c>
      <c r="B36" s="208" t="str">
        <f>'SC_Loop 1'!B36</f>
        <v>1 output/1 input addressable module</v>
      </c>
      <c r="C36" s="97"/>
      <c r="D36" s="20">
        <f>'SC_Loop 1'!D36</f>
        <v>2.1009999999999998E-4</v>
      </c>
      <c r="E36" s="57">
        <f t="shared" si="2"/>
        <v>0</v>
      </c>
      <c r="F36" s="199">
        <f>C36*'System Calculation'!$I$14</f>
        <v>0</v>
      </c>
      <c r="G36" s="20">
        <f>'SC_Loop 1'!G36</f>
        <v>5.9199999999999999E-3</v>
      </c>
      <c r="H36" s="57">
        <f t="shared" si="3"/>
        <v>0</v>
      </c>
      <c r="I36" s="49"/>
      <c r="J36" s="49"/>
      <c r="K36" s="49">
        <f t="shared" si="7"/>
        <v>0</v>
      </c>
      <c r="L36" s="49"/>
      <c r="M36" s="106" t="str">
        <f>IF(K36&lt;&gt;0,K36*2," ")</f>
        <v xml:space="preserve"> </v>
      </c>
      <c r="O36" s="13"/>
    </row>
    <row r="37" spans="1:15" ht="25" x14ac:dyDescent="0.25">
      <c r="A37" s="115" t="str">
        <f>'SC_Loop 1'!A37</f>
        <v>MAD-422 &amp; MAD-422-I</v>
      </c>
      <c r="B37" s="208" t="str">
        <f>'SC_Loop 1'!B37</f>
        <v>2 outputs/2 inputs addressable module</v>
      </c>
      <c r="C37" s="97"/>
      <c r="D37" s="20">
        <f>'SC_Loop 1'!D37</f>
        <v>2.34E-4</v>
      </c>
      <c r="E37" s="57">
        <f t="shared" si="2"/>
        <v>0</v>
      </c>
      <c r="F37" s="199">
        <f>C37*'System Calculation'!$I$14</f>
        <v>0</v>
      </c>
      <c r="G37" s="20">
        <f>'SC_Loop 1'!G37</f>
        <v>5.9100000000000003E-3</v>
      </c>
      <c r="H37" s="57">
        <f t="shared" si="3"/>
        <v>0</v>
      </c>
      <c r="I37" s="49"/>
      <c r="J37" s="49"/>
      <c r="K37" s="49">
        <f t="shared" si="7"/>
        <v>0</v>
      </c>
      <c r="L37" s="49"/>
      <c r="M37" s="106" t="str">
        <f>IF(K37&lt;&gt;0,K37*4," ")</f>
        <v xml:space="preserve"> </v>
      </c>
      <c r="O37" s="13"/>
    </row>
    <row r="38" spans="1:15" ht="25" x14ac:dyDescent="0.25">
      <c r="A38" s="115" t="str">
        <f>'SC_Loop 1'!A38</f>
        <v>MAD-425-I</v>
      </c>
      <c r="B38" s="208" t="str">
        <f>'SC_Loop 1'!B38</f>
        <v>5 outputs/5 inputs addressable module</v>
      </c>
      <c r="C38" s="97"/>
      <c r="D38" s="20">
        <f>'SC_Loop 1'!D38</f>
        <v>2.8399999999999996E-4</v>
      </c>
      <c r="E38" s="57">
        <f t="shared" si="2"/>
        <v>0</v>
      </c>
      <c r="F38" s="199">
        <f>C38*'System Calculation'!$I$14</f>
        <v>0</v>
      </c>
      <c r="G38" s="20">
        <f>'SC_Loop 1'!G38</f>
        <v>4.0800000000000003E-3</v>
      </c>
      <c r="H38" s="57">
        <f t="shared" si="3"/>
        <v>0</v>
      </c>
      <c r="I38" s="49"/>
      <c r="J38" s="49"/>
      <c r="K38" s="49">
        <f t="shared" si="7"/>
        <v>0</v>
      </c>
      <c r="L38" s="49"/>
      <c r="M38" s="106" t="str">
        <f>IF(K38&lt;&gt;0,K38*10," ")</f>
        <v xml:space="preserve"> </v>
      </c>
      <c r="O38" s="13" t="str">
        <f t="shared" ref="O38:O43" si="9">IF(AND(C38&gt;0),"Info: External 24V needed. Control Panel could provide from 24Vaux, if 500mA maximum current isn't exceeded."," ")</f>
        <v xml:space="preserve"> </v>
      </c>
    </row>
    <row r="39" spans="1:15" ht="25" x14ac:dyDescent="0.25">
      <c r="A39" s="115" t="str">
        <f>'SC_Loop 1'!A39</f>
        <v>MAD-429-I</v>
      </c>
      <c r="B39" s="208" t="str">
        <f>'SC_Loop 1'!B39</f>
        <v>10 outputs/10 inputs addressable module</v>
      </c>
      <c r="C39" s="97"/>
      <c r="D39" s="20">
        <f>'SC_Loop 1'!D39</f>
        <v>3.7659999999999999E-4</v>
      </c>
      <c r="E39" s="57">
        <f t="shared" si="2"/>
        <v>0</v>
      </c>
      <c r="F39" s="199">
        <f>C39*'System Calculation'!$I$14</f>
        <v>0</v>
      </c>
      <c r="G39" s="20">
        <f>'SC_Loop 1'!G39</f>
        <v>5.0000000000000001E-3</v>
      </c>
      <c r="H39" s="57">
        <f t="shared" si="3"/>
        <v>0</v>
      </c>
      <c r="I39" s="49"/>
      <c r="J39" s="49"/>
      <c r="K39" s="49">
        <f t="shared" si="7"/>
        <v>0</v>
      </c>
      <c r="L39" s="49"/>
      <c r="M39" s="106" t="str">
        <f>IF(K39&lt;&gt;0,K39*20," ")</f>
        <v xml:space="preserve"> </v>
      </c>
      <c r="O39" s="13" t="str">
        <f t="shared" si="9"/>
        <v xml:space="preserve"> </v>
      </c>
    </row>
    <row r="40" spans="1:15" ht="25" x14ac:dyDescent="0.25">
      <c r="A40" s="115" t="str">
        <f>'SC_Loop 1'!A40</f>
        <v>MAD-431 &amp; MAD-431-I</v>
      </c>
      <c r="B40" s="208" t="str">
        <f>'SC_Loop 1'!B40</f>
        <v>1 output 24V addressable module</v>
      </c>
      <c r="C40" s="97"/>
      <c r="D40" s="20">
        <f>'SC_Loop 1'!D40</f>
        <v>2.1499999999999999E-4</v>
      </c>
      <c r="E40" s="57">
        <f t="shared" si="2"/>
        <v>0</v>
      </c>
      <c r="F40" s="199">
        <f>C40*'System Calculation'!$I$14</f>
        <v>0</v>
      </c>
      <c r="G40" s="20">
        <f>'SC_Loop 1'!G40</f>
        <v>3.6099999999999999E-3</v>
      </c>
      <c r="H40" s="57">
        <f t="shared" si="3"/>
        <v>0</v>
      </c>
      <c r="I40" s="49"/>
      <c r="J40" s="49"/>
      <c r="K40" s="49" t="str">
        <f>IF(C40&lt;&gt;0,C40," ")</f>
        <v xml:space="preserve"> </v>
      </c>
      <c r="L40" s="49"/>
      <c r="M40" s="106" t="str">
        <f>IF(K40&lt;&gt;0,K40," ")</f>
        <v xml:space="preserve"> </v>
      </c>
      <c r="O40" s="13" t="str">
        <f t="shared" si="9"/>
        <v xml:space="preserve"> </v>
      </c>
    </row>
    <row r="41" spans="1:15" ht="25" x14ac:dyDescent="0.25">
      <c r="A41" s="115" t="str">
        <f>'SC_Loop 1'!A41</f>
        <v>MAD-432 &amp; MAD-432-I</v>
      </c>
      <c r="B41" s="208" t="str">
        <f>'SC_Loop 1'!B41</f>
        <v>2 outputs 24V addressable module</v>
      </c>
      <c r="C41" s="97"/>
      <c r="D41" s="20">
        <f>'SC_Loop 1'!D41</f>
        <v>2.0330000000000001E-4</v>
      </c>
      <c r="E41" s="57">
        <f t="shared" si="2"/>
        <v>0</v>
      </c>
      <c r="F41" s="199">
        <f>C41*'System Calculation'!$I$14</f>
        <v>0</v>
      </c>
      <c r="G41" s="20">
        <f>'SC_Loop 1'!G41</f>
        <v>6.7999999999999996E-3</v>
      </c>
      <c r="H41" s="57">
        <f t="shared" si="3"/>
        <v>0</v>
      </c>
      <c r="I41" s="49"/>
      <c r="J41" s="49"/>
      <c r="K41" s="49" t="str">
        <f t="shared" ref="K41:K43" si="10">IF(C41&lt;&gt;0,C41," ")</f>
        <v xml:space="preserve"> </v>
      </c>
      <c r="L41" s="49"/>
      <c r="M41" s="106" t="str">
        <f>IF(K41&lt;&gt;0,K41," ")</f>
        <v xml:space="preserve"> </v>
      </c>
      <c r="O41" s="13" t="str">
        <f t="shared" si="9"/>
        <v xml:space="preserve"> </v>
      </c>
    </row>
    <row r="42" spans="1:15" ht="25" x14ac:dyDescent="0.25">
      <c r="A42" s="115" t="str">
        <f>'SC_Loop 1'!A42</f>
        <v>MAD-441 &amp; MAD-441-I</v>
      </c>
      <c r="B42" s="208" t="str">
        <f>'SC_Loop 1'!B42</f>
        <v>1 conventional zone addressable module</v>
      </c>
      <c r="C42" s="97"/>
      <c r="D42" s="20">
        <f>'SC_Loop 1'!D42</f>
        <v>1.8780000000000001E-4</v>
      </c>
      <c r="E42" s="57">
        <f t="shared" si="2"/>
        <v>0</v>
      </c>
      <c r="F42" s="199">
        <f>C42*'System Calculation'!$I$14</f>
        <v>0</v>
      </c>
      <c r="G42" s="20">
        <f>'SC_Loop 1'!G42</f>
        <v>3.0400000000000002E-3</v>
      </c>
      <c r="H42" s="57">
        <f t="shared" si="3"/>
        <v>0</v>
      </c>
      <c r="I42" s="49"/>
      <c r="J42" s="49"/>
      <c r="K42" s="49" t="str">
        <f t="shared" si="10"/>
        <v xml:space="preserve"> </v>
      </c>
      <c r="L42" s="49"/>
      <c r="M42" s="106" t="str">
        <f t="shared" ref="M42:M43" si="11">IF(K42&lt;&gt;0,K42," ")</f>
        <v xml:space="preserve"> </v>
      </c>
      <c r="O42" s="13" t="str">
        <f t="shared" si="9"/>
        <v xml:space="preserve"> </v>
      </c>
    </row>
    <row r="43" spans="1:15" ht="25" x14ac:dyDescent="0.25">
      <c r="A43" s="115" t="str">
        <f>'SC_Loop 1'!A43</f>
        <v>MAD-442 &amp; MAD-442-I</v>
      </c>
      <c r="B43" s="208" t="str">
        <f>'SC_Loop 1'!B43</f>
        <v>2 conventionals zones addressable module</v>
      </c>
      <c r="C43" s="97"/>
      <c r="D43" s="20">
        <f>'SC_Loop 1'!D43</f>
        <v>1.8780000000000001E-4</v>
      </c>
      <c r="E43" s="57">
        <f t="shared" si="2"/>
        <v>0</v>
      </c>
      <c r="F43" s="199">
        <f>C43*'System Calculation'!$I$14</f>
        <v>0</v>
      </c>
      <c r="G43" s="20">
        <f>'SC_Loop 1'!G43</f>
        <v>5.8399999999999997E-3</v>
      </c>
      <c r="H43" s="57">
        <f t="shared" si="3"/>
        <v>0</v>
      </c>
      <c r="I43" s="49"/>
      <c r="J43" s="49"/>
      <c r="K43" s="49" t="str">
        <f t="shared" si="10"/>
        <v xml:space="preserve"> </v>
      </c>
      <c r="L43" s="49"/>
      <c r="M43" s="106" t="str">
        <f t="shared" si="11"/>
        <v xml:space="preserve"> </v>
      </c>
      <c r="O43" s="13" t="str">
        <f t="shared" si="9"/>
        <v xml:space="preserve"> </v>
      </c>
    </row>
    <row r="44" spans="1:15" ht="25" x14ac:dyDescent="0.25">
      <c r="A44" s="115" t="str">
        <f>'SC_Loop 1'!A44</f>
        <v>MAD-450 &amp; MAD-450-I</v>
      </c>
      <c r="B44" s="208" t="str">
        <f>'SC_Loop 1'!B44</f>
        <v>Addressable manual call point with isolator</v>
      </c>
      <c r="C44" s="97"/>
      <c r="D44" s="20">
        <f>'SC_Loop 1'!D44</f>
        <v>1.7659999999999998E-4</v>
      </c>
      <c r="E44" s="57">
        <f t="shared" si="2"/>
        <v>0</v>
      </c>
      <c r="F44" s="199">
        <f>C44*'System Calculation'!$I$12</f>
        <v>0</v>
      </c>
      <c r="G44" s="20">
        <f>'SC_Loop 1'!G44</f>
        <v>3.0299999999999997E-3</v>
      </c>
      <c r="H44" s="57">
        <f t="shared" si="3"/>
        <v>0</v>
      </c>
      <c r="I44" s="49"/>
      <c r="J44" s="49" t="str">
        <f t="shared" ref="J44:J45" si="12">IF(C44&lt;&gt;0,C44," ")</f>
        <v xml:space="preserve"> </v>
      </c>
      <c r="K44" s="49"/>
      <c r="L44" s="49"/>
      <c r="M44" s="106" t="str">
        <f t="shared" si="4"/>
        <v xml:space="preserve"> </v>
      </c>
    </row>
    <row r="45" spans="1:15" ht="25" x14ac:dyDescent="0.25">
      <c r="A45" s="115" t="str">
        <f>'SC_Loop 1'!A45</f>
        <v>MAD-451-I</v>
      </c>
      <c r="B45" s="208" t="str">
        <f>'SC_Loop 1'!B45</f>
        <v>Addressable manual call point with isolator</v>
      </c>
      <c r="C45" s="97"/>
      <c r="D45" s="20">
        <f>'SC_Loop 1'!D45</f>
        <v>1.774E-4</v>
      </c>
      <c r="E45" s="57">
        <f t="shared" si="2"/>
        <v>0</v>
      </c>
      <c r="F45" s="199">
        <f>C45*'System Calculation'!$I$12</f>
        <v>0</v>
      </c>
      <c r="G45" s="20">
        <f>'SC_Loop 1'!G45</f>
        <v>3.0000000000000001E-3</v>
      </c>
      <c r="H45" s="57">
        <f t="shared" si="3"/>
        <v>0</v>
      </c>
      <c r="I45" s="49"/>
      <c r="J45" s="49" t="str">
        <f t="shared" si="12"/>
        <v xml:space="preserve"> </v>
      </c>
      <c r="K45" s="49"/>
      <c r="L45" s="49"/>
      <c r="M45" s="106" t="str">
        <f t="shared" si="4"/>
        <v xml:space="preserve"> </v>
      </c>
    </row>
    <row r="46" spans="1:15" ht="25" x14ac:dyDescent="0.25">
      <c r="A46" s="115" t="str">
        <f>'SC_Loop 1'!A46</f>
        <v>MAD-461-I</v>
      </c>
      <c r="B46" s="208" t="str">
        <f>'SC_Loop 1'!B46</f>
        <v>Addressable sounder with isolator</v>
      </c>
      <c r="C46" s="97"/>
      <c r="D46" s="20">
        <f>'SC_Loop 1'!D46</f>
        <v>1.7689999999999999E-4</v>
      </c>
      <c r="E46" s="57">
        <f t="shared" si="2"/>
        <v>0</v>
      </c>
      <c r="F46" s="199">
        <f>C46*'System Calculation'!$I$13</f>
        <v>0</v>
      </c>
      <c r="G46" s="20">
        <f>'SC_Loop 1'!G46</f>
        <v>8.3499999999999998E-3</v>
      </c>
      <c r="H46" s="57">
        <f>F46*G46</f>
        <v>0</v>
      </c>
      <c r="I46" s="49" t="str">
        <f>IF(C46*H46=0," ",H46)</f>
        <v xml:space="preserve"> </v>
      </c>
      <c r="J46" s="49"/>
      <c r="K46" s="49"/>
      <c r="L46" s="49" t="str">
        <f t="shared" ref="L46:L66" si="13">IF(C46&lt;&gt;0,C46," ")</f>
        <v xml:space="preserve"> </v>
      </c>
      <c r="M46" s="106" t="str">
        <f>IF(L46&lt;&gt;0,L46," ")</f>
        <v xml:space="preserve"> </v>
      </c>
    </row>
    <row r="47" spans="1:15" ht="25" x14ac:dyDescent="0.25">
      <c r="A47" s="115" t="str">
        <f>'SC_Loop 1'!A47</f>
        <v>MAD-464-I Low Volume (78 dB)</v>
      </c>
      <c r="B47" s="208" t="str">
        <f>'SC_Loop 1'!B47</f>
        <v>Addressable sounder with isolator</v>
      </c>
      <c r="C47" s="97"/>
      <c r="D47" s="20">
        <f>'SC_Loop 1'!D47</f>
        <v>1.7649999999999998E-4</v>
      </c>
      <c r="E47" s="57">
        <f t="shared" si="2"/>
        <v>0</v>
      </c>
      <c r="F47" s="199">
        <f>C47*'System Calculation'!$I$13</f>
        <v>0</v>
      </c>
      <c r="G47" s="20">
        <f>'SC_Loop 1'!G47</f>
        <v>1.2320000000000001E-2</v>
      </c>
      <c r="H47" s="57">
        <f t="shared" si="3"/>
        <v>0</v>
      </c>
      <c r="I47" s="49" t="str">
        <f t="shared" ref="I47:I66" si="14">IF(C47*H47=0," ",H47)</f>
        <v xml:space="preserve"> </v>
      </c>
      <c r="J47" s="49"/>
      <c r="K47" s="49"/>
      <c r="L47" s="49" t="str">
        <f t="shared" si="13"/>
        <v xml:space="preserve"> </v>
      </c>
      <c r="M47" s="106" t="str">
        <f t="shared" ref="M47:M66" si="15">IF(L47&lt;&gt;0,L47," ")</f>
        <v xml:space="preserve"> </v>
      </c>
    </row>
    <row r="48" spans="1:15" ht="25" x14ac:dyDescent="0.25">
      <c r="A48" s="115" t="str">
        <f>'SC_Loop 1'!A48</f>
        <v>MAD-464-I Medium Volume (93 dB)</v>
      </c>
      <c r="B48" s="208" t="str">
        <f>'SC_Loop 1'!B48</f>
        <v>Addressable sounder with isolator</v>
      </c>
      <c r="C48" s="97"/>
      <c r="D48" s="20">
        <f>'SC_Loop 1'!D48</f>
        <v>1.7649999999999998E-4</v>
      </c>
      <c r="E48" s="57">
        <f t="shared" si="2"/>
        <v>0</v>
      </c>
      <c r="F48" s="199">
        <f>C48*'System Calculation'!$I$13</f>
        <v>0</v>
      </c>
      <c r="G48" s="20">
        <f>'SC_Loop 1'!G48</f>
        <v>1.2320000000000001E-2</v>
      </c>
      <c r="H48" s="57">
        <f t="shared" si="3"/>
        <v>0</v>
      </c>
      <c r="I48" s="49" t="str">
        <f t="shared" si="14"/>
        <v xml:space="preserve"> </v>
      </c>
      <c r="J48" s="49"/>
      <c r="K48" s="49"/>
      <c r="L48" s="49" t="str">
        <f t="shared" si="13"/>
        <v xml:space="preserve"> </v>
      </c>
      <c r="M48" s="106" t="str">
        <f t="shared" si="15"/>
        <v xml:space="preserve"> </v>
      </c>
    </row>
    <row r="49" spans="1:15" ht="25" x14ac:dyDescent="0.25">
      <c r="A49" s="115" t="str">
        <f>'SC_Loop 1'!A49</f>
        <v>MAD-464-I High Volume (97 dB)</v>
      </c>
      <c r="B49" s="208" t="str">
        <f>'SC_Loop 1'!B49</f>
        <v>Addressable sounder with isolator</v>
      </c>
      <c r="C49" s="97"/>
      <c r="D49" s="20">
        <f>'SC_Loop 1'!D49</f>
        <v>1.7649999999999998E-4</v>
      </c>
      <c r="E49" s="57">
        <f t="shared" si="2"/>
        <v>0</v>
      </c>
      <c r="F49" s="199">
        <f>C49*'System Calculation'!$I$13</f>
        <v>0</v>
      </c>
      <c r="G49" s="20">
        <f>'SC_Loop 1'!G49</f>
        <v>1.2320000000000001E-2</v>
      </c>
      <c r="H49" s="57">
        <f t="shared" si="3"/>
        <v>0</v>
      </c>
      <c r="I49" s="49" t="str">
        <f t="shared" si="14"/>
        <v xml:space="preserve"> </v>
      </c>
      <c r="J49" s="49"/>
      <c r="K49" s="49"/>
      <c r="L49" s="49" t="str">
        <f t="shared" si="13"/>
        <v xml:space="preserve"> </v>
      </c>
      <c r="M49" s="106" t="str">
        <f t="shared" si="15"/>
        <v xml:space="preserve"> </v>
      </c>
    </row>
    <row r="50" spans="1:15" ht="37.5" x14ac:dyDescent="0.25">
      <c r="A50" s="115" t="str">
        <f>'SC_Loop 1'!A50</f>
        <v>MAD-465-I Low Volume (78 dB)</v>
      </c>
      <c r="B50" s="208" t="str">
        <f>'SC_Loop 1'!B50</f>
        <v>Addressable sounder with beacon and isolator</v>
      </c>
      <c r="C50" s="97"/>
      <c r="D50" s="20">
        <f>'SC_Loop 1'!D50</f>
        <v>1.773E-4</v>
      </c>
      <c r="E50" s="57">
        <f t="shared" si="2"/>
        <v>0</v>
      </c>
      <c r="F50" s="199">
        <f>C50*'System Calculation'!$I$13</f>
        <v>0</v>
      </c>
      <c r="G50" s="20">
        <f>'SC_Loop 1'!G50</f>
        <v>1.2320000000000001E-2</v>
      </c>
      <c r="H50" s="57">
        <f t="shared" si="3"/>
        <v>0</v>
      </c>
      <c r="I50" s="49" t="str">
        <f t="shared" si="14"/>
        <v xml:space="preserve"> </v>
      </c>
      <c r="J50" s="49"/>
      <c r="K50" s="49"/>
      <c r="L50" s="49" t="str">
        <f t="shared" si="13"/>
        <v xml:space="preserve"> </v>
      </c>
      <c r="M50" s="106" t="str">
        <f t="shared" si="15"/>
        <v xml:space="preserve"> </v>
      </c>
    </row>
    <row r="51" spans="1:15" ht="37.5" x14ac:dyDescent="0.25">
      <c r="A51" s="115" t="str">
        <f>'SC_Loop 1'!A51</f>
        <v>MAD-465-I Medium Volume (93 dB)</v>
      </c>
      <c r="B51" s="208" t="str">
        <f>'SC_Loop 1'!B51</f>
        <v>Addressable sounder with beacon and isolator</v>
      </c>
      <c r="C51" s="97"/>
      <c r="D51" s="20">
        <f>'SC_Loop 1'!D51</f>
        <v>1.773E-4</v>
      </c>
      <c r="E51" s="57">
        <f t="shared" si="2"/>
        <v>0</v>
      </c>
      <c r="F51" s="199">
        <f>C51*'System Calculation'!$I$13</f>
        <v>0</v>
      </c>
      <c r="G51" s="20">
        <f>'SC_Loop 1'!G51</f>
        <v>1.2320000000000001E-2</v>
      </c>
      <c r="H51" s="57">
        <f t="shared" si="3"/>
        <v>0</v>
      </c>
      <c r="I51" s="49" t="str">
        <f t="shared" si="14"/>
        <v xml:space="preserve"> </v>
      </c>
      <c r="J51" s="49"/>
      <c r="K51" s="49"/>
      <c r="L51" s="49" t="str">
        <f t="shared" si="13"/>
        <v xml:space="preserve"> </v>
      </c>
      <c r="M51" s="106" t="str">
        <f t="shared" si="15"/>
        <v xml:space="preserve"> </v>
      </c>
    </row>
    <row r="52" spans="1:15" ht="37.5" x14ac:dyDescent="0.25">
      <c r="A52" s="115" t="str">
        <f>'SC_Loop 1'!A52</f>
        <v>MAD-465-I High Volume (97 dB)</v>
      </c>
      <c r="B52" s="208" t="str">
        <f>'SC_Loop 1'!B52</f>
        <v>Addressable sounder with beacon and isolator</v>
      </c>
      <c r="C52" s="97"/>
      <c r="D52" s="20">
        <f>'SC_Loop 1'!D52</f>
        <v>1.773E-4</v>
      </c>
      <c r="E52" s="57">
        <f t="shared" si="2"/>
        <v>0</v>
      </c>
      <c r="F52" s="199">
        <f>C52*'System Calculation'!$I$13</f>
        <v>0</v>
      </c>
      <c r="G52" s="20">
        <f>'SC_Loop 1'!G52</f>
        <v>1.2320000000000001E-2</v>
      </c>
      <c r="H52" s="57">
        <f t="shared" si="3"/>
        <v>0</v>
      </c>
      <c r="I52" s="49" t="str">
        <f t="shared" si="14"/>
        <v xml:space="preserve"> </v>
      </c>
      <c r="J52" s="49"/>
      <c r="K52" s="49"/>
      <c r="L52" s="49" t="str">
        <f t="shared" si="13"/>
        <v xml:space="preserve"> </v>
      </c>
      <c r="M52" s="106" t="str">
        <f t="shared" si="15"/>
        <v xml:space="preserve"> </v>
      </c>
    </row>
    <row r="53" spans="1:15" ht="25" x14ac:dyDescent="0.25">
      <c r="A53" s="115" t="str">
        <f>'SC_Loop 1'!A53</f>
        <v>MAD-564-I (loop)</v>
      </c>
      <c r="B53" s="208" t="str">
        <f>'SC_Loop 1'!B53</f>
        <v>Addressable sounder with isolator</v>
      </c>
      <c r="C53" s="97"/>
      <c r="D53" s="20">
        <f>'SC_Loop 1'!D53</f>
        <v>1.58E-3</v>
      </c>
      <c r="E53" s="57">
        <f t="shared" si="2"/>
        <v>0</v>
      </c>
      <c r="F53" s="199">
        <f>C53*'System Calculation'!$I$13</f>
        <v>0</v>
      </c>
      <c r="G53" s="20">
        <f>'SC_Loop 1'!G53</f>
        <v>2.111E-2</v>
      </c>
      <c r="H53" s="57">
        <f t="shared" si="3"/>
        <v>0</v>
      </c>
      <c r="I53" s="49" t="str">
        <f t="shared" si="14"/>
        <v xml:space="preserve"> </v>
      </c>
      <c r="J53" s="49"/>
      <c r="K53" s="49"/>
      <c r="L53" s="49" t="str">
        <f t="shared" si="13"/>
        <v xml:space="preserve"> </v>
      </c>
      <c r="M53" s="106" t="str">
        <f t="shared" si="15"/>
        <v xml:space="preserve"> </v>
      </c>
    </row>
    <row r="54" spans="1:15" ht="25" x14ac:dyDescent="0.25">
      <c r="A54" s="115" t="str">
        <f>'SC_Loop 1'!A54</f>
        <v>MAD-564-I (External PS)</v>
      </c>
      <c r="B54" s="208" t="str">
        <f>'SC_Loop 1'!B54</f>
        <v>Addressable sounder with isolator</v>
      </c>
      <c r="C54" s="97"/>
      <c r="D54" s="20">
        <f>'SC_Loop 1'!D54</f>
        <v>3.5E-4</v>
      </c>
      <c r="E54" s="57">
        <f t="shared" si="2"/>
        <v>0</v>
      </c>
      <c r="F54" s="199">
        <f>C54*'System Calculation'!$I$13</f>
        <v>0</v>
      </c>
      <c r="G54" s="20">
        <f>'SC_Loop 1'!G54</f>
        <v>8.0000000000000004E-4</v>
      </c>
      <c r="H54" s="57">
        <f t="shared" si="3"/>
        <v>0</v>
      </c>
      <c r="I54" s="49" t="str">
        <f t="shared" si="14"/>
        <v xml:space="preserve"> </v>
      </c>
      <c r="J54" s="49"/>
      <c r="K54" s="49"/>
      <c r="L54" s="49" t="str">
        <f t="shared" si="13"/>
        <v xml:space="preserve"> </v>
      </c>
      <c r="M54" s="106" t="str">
        <f t="shared" si="15"/>
        <v xml:space="preserve"> </v>
      </c>
      <c r="O54" s="13" t="str">
        <f>IF(AND(C53&gt;0),"Info: External 24V needed. EN 54-4 certificate."," ")</f>
        <v xml:space="preserve"> </v>
      </c>
    </row>
    <row r="55" spans="1:15" ht="25" x14ac:dyDescent="0.25">
      <c r="A55" s="115" t="str">
        <f>'SC_Loop 1'!A55</f>
        <v>MAD-565-I (loop)</v>
      </c>
      <c r="B55" s="208" t="str">
        <f>'SC_Loop 1'!B55</f>
        <v>Addressable sounder with VAD and isolator</v>
      </c>
      <c r="C55" s="97"/>
      <c r="D55" s="20">
        <f>'SC_Loop 1'!D55</f>
        <v>1.58E-3</v>
      </c>
      <c r="E55" s="57">
        <f t="shared" si="2"/>
        <v>0</v>
      </c>
      <c r="F55" s="199">
        <f>C55*'System Calculation'!$I$13</f>
        <v>0</v>
      </c>
      <c r="G55" s="20">
        <f>'SC_Loop 1'!G55</f>
        <v>3.3450000000000001E-2</v>
      </c>
      <c r="H55" s="57">
        <f t="shared" si="3"/>
        <v>0</v>
      </c>
      <c r="I55" s="49" t="str">
        <f t="shared" si="14"/>
        <v xml:space="preserve"> </v>
      </c>
      <c r="J55" s="49"/>
      <c r="K55" s="49"/>
      <c r="L55" s="49" t="str">
        <f t="shared" si="13"/>
        <v xml:space="preserve"> </v>
      </c>
      <c r="M55" s="106" t="str">
        <f t="shared" si="15"/>
        <v xml:space="preserve"> </v>
      </c>
    </row>
    <row r="56" spans="1:15" ht="25" x14ac:dyDescent="0.25">
      <c r="A56" s="115" t="str">
        <f>'SC_Loop 1'!A56</f>
        <v>MAD-565-I (External PS)</v>
      </c>
      <c r="B56" s="208" t="str">
        <f>'SC_Loop 1'!B56</f>
        <v>Addressable sounder with VAD and isolator</v>
      </c>
      <c r="C56" s="97"/>
      <c r="D56" s="20">
        <f>'SC_Loop 1'!D56</f>
        <v>3.5E-4</v>
      </c>
      <c r="E56" s="57">
        <f t="shared" si="2"/>
        <v>0</v>
      </c>
      <c r="F56" s="199">
        <f>C56*'System Calculation'!$I$13</f>
        <v>0</v>
      </c>
      <c r="G56" s="20">
        <f>'SC_Loop 1'!G56</f>
        <v>8.0000000000000004E-4</v>
      </c>
      <c r="H56" s="57">
        <f t="shared" si="3"/>
        <v>0</v>
      </c>
      <c r="I56" s="49" t="str">
        <f t="shared" si="14"/>
        <v xml:space="preserve"> </v>
      </c>
      <c r="J56" s="49"/>
      <c r="K56" s="49"/>
      <c r="L56" s="49" t="str">
        <f t="shared" si="13"/>
        <v xml:space="preserve"> </v>
      </c>
      <c r="M56" s="106" t="str">
        <f t="shared" si="15"/>
        <v xml:space="preserve"> </v>
      </c>
      <c r="O56" s="13" t="str">
        <f>IF(AND(C55&gt;0),"Info: External 24V needed. EN 54-4 certificate."," ")</f>
        <v xml:space="preserve"> </v>
      </c>
    </row>
    <row r="57" spans="1:15" ht="25" x14ac:dyDescent="0.25">
      <c r="A57" s="115" t="str">
        <f>'SC_Loop 1'!A57</f>
        <v>MAD-565-I - only flash (loop)</v>
      </c>
      <c r="B57" s="208" t="str">
        <f>'SC_Loop 1'!B57</f>
        <v>Addressable VAD with isolator</v>
      </c>
      <c r="C57" s="97"/>
      <c r="D57" s="20">
        <f>'SC_Loop 1'!D57</f>
        <v>1.58E-3</v>
      </c>
      <c r="E57" s="57">
        <f>C57*D57</f>
        <v>0</v>
      </c>
      <c r="F57" s="199">
        <f>C57*'System Calculation'!$I$13</f>
        <v>0</v>
      </c>
      <c r="G57" s="20">
        <f>'SC_Loop 1'!G57</f>
        <v>3.3450000000000001E-2</v>
      </c>
      <c r="H57" s="57">
        <f t="shared" si="3"/>
        <v>0</v>
      </c>
      <c r="I57" s="49" t="str">
        <f t="shared" si="14"/>
        <v xml:space="preserve"> </v>
      </c>
      <c r="J57" s="49"/>
      <c r="K57" s="49"/>
      <c r="L57" s="49" t="str">
        <f t="shared" si="13"/>
        <v xml:space="preserve"> </v>
      </c>
      <c r="M57" s="106" t="str">
        <f t="shared" si="15"/>
        <v xml:space="preserve"> </v>
      </c>
    </row>
    <row r="58" spans="1:15" ht="25" x14ac:dyDescent="0.25">
      <c r="A58" s="115" t="str">
        <f>'SC_Loop 1'!A58</f>
        <v>MAD-565-I - only flash (External PS)</v>
      </c>
      <c r="B58" s="208" t="str">
        <f>'SC_Loop 1'!B58</f>
        <v>Addressable VAD with isolator</v>
      </c>
      <c r="C58" s="97"/>
      <c r="D58" s="20">
        <f>'SC_Loop 1'!D58</f>
        <v>3.5E-4</v>
      </c>
      <c r="E58" s="57">
        <f t="shared" ref="E58" si="16">C58*D58</f>
        <v>0</v>
      </c>
      <c r="F58" s="199">
        <f>C58*'System Calculation'!$I$13</f>
        <v>0</v>
      </c>
      <c r="G58" s="20">
        <f>'SC_Loop 1'!G58</f>
        <v>8.0000000000000004E-4</v>
      </c>
      <c r="H58" s="57">
        <f t="shared" si="3"/>
        <v>0</v>
      </c>
      <c r="I58" s="49" t="str">
        <f t="shared" si="14"/>
        <v xml:space="preserve"> </v>
      </c>
      <c r="J58" s="49"/>
      <c r="K58" s="49"/>
      <c r="L58" s="49" t="str">
        <f t="shared" si="13"/>
        <v xml:space="preserve"> </v>
      </c>
      <c r="M58" s="106" t="str">
        <f t="shared" si="15"/>
        <v xml:space="preserve"> </v>
      </c>
      <c r="O58" s="13" t="str">
        <f>IF(AND(C57&gt;0),"Info: External 24V needed. EN 54-4 certificate."," ")</f>
        <v xml:space="preserve"> </v>
      </c>
    </row>
    <row r="59" spans="1:15" ht="25" x14ac:dyDescent="0.25">
      <c r="A59" s="115" t="str">
        <f>'SC_Loop 1'!A59</f>
        <v>MAD-567-I (loop)</v>
      </c>
      <c r="B59" s="208" t="str">
        <f>'SC_Loop 1'!B59</f>
        <v>Sounder base with isolator</v>
      </c>
      <c r="C59" s="97"/>
      <c r="D59" s="20">
        <f>'SC_Loop 1'!D59</f>
        <v>1.17E-3</v>
      </c>
      <c r="E59" s="57">
        <f t="shared" si="2"/>
        <v>0</v>
      </c>
      <c r="F59" s="199">
        <f>C59*'System Calculation'!$I$13</f>
        <v>0</v>
      </c>
      <c r="G59" s="20">
        <f>'SC_Loop 1'!G59</f>
        <v>8.9499999999999996E-3</v>
      </c>
      <c r="H59" s="57">
        <f t="shared" si="3"/>
        <v>0</v>
      </c>
      <c r="I59" s="49" t="str">
        <f t="shared" si="14"/>
        <v xml:space="preserve"> </v>
      </c>
      <c r="J59" s="49"/>
      <c r="K59" s="49"/>
      <c r="L59" s="49" t="str">
        <f t="shared" si="13"/>
        <v xml:space="preserve"> </v>
      </c>
      <c r="M59" s="106" t="str">
        <f t="shared" si="15"/>
        <v xml:space="preserve"> </v>
      </c>
    </row>
    <row r="60" spans="1:15" ht="25" x14ac:dyDescent="0.25">
      <c r="A60" s="115" t="str">
        <f>'SC_Loop 1'!A60</f>
        <v>MAD-567-I (External PS)</v>
      </c>
      <c r="B60" s="208" t="str">
        <f>'SC_Loop 1'!B60</f>
        <v>Sounder base with isolator</v>
      </c>
      <c r="C60" s="97"/>
      <c r="D60" s="20">
        <f>'SC_Loop 1'!D60</f>
        <v>2.61E-4</v>
      </c>
      <c r="E60" s="57">
        <f t="shared" si="2"/>
        <v>0</v>
      </c>
      <c r="F60" s="199">
        <f>C60*'System Calculation'!$I$13</f>
        <v>0</v>
      </c>
      <c r="G60" s="20">
        <f>'SC_Loop 1'!G60</f>
        <v>7.1000000000000002E-4</v>
      </c>
      <c r="H60" s="57">
        <f t="shared" si="3"/>
        <v>0</v>
      </c>
      <c r="I60" s="49" t="str">
        <f t="shared" si="14"/>
        <v xml:space="preserve"> </v>
      </c>
      <c r="J60" s="49"/>
      <c r="K60" s="49"/>
      <c r="L60" s="49" t="str">
        <f t="shared" si="13"/>
        <v xml:space="preserve"> </v>
      </c>
      <c r="M60" s="106" t="str">
        <f t="shared" si="15"/>
        <v xml:space="preserve"> </v>
      </c>
      <c r="O60" s="13" t="str">
        <f>IF(AND(C59&gt;0),"Info: External 24V needed. EN 54-4 certificate."," ")</f>
        <v xml:space="preserve"> </v>
      </c>
    </row>
    <row r="61" spans="1:15" ht="25" x14ac:dyDescent="0.25">
      <c r="A61" s="115" t="str">
        <f>'SC_Loop 1'!A61</f>
        <v>MAD-569-I (loop)</v>
      </c>
      <c r="B61" s="208" t="str">
        <f>'SC_Loop 1'!B61</f>
        <v>Sounder &amp; VAD base with isolator</v>
      </c>
      <c r="C61" s="97"/>
      <c r="D61" s="20">
        <f>'SC_Loop 1'!D61</f>
        <v>1.17E-3</v>
      </c>
      <c r="E61" s="57">
        <f t="shared" si="2"/>
        <v>0</v>
      </c>
      <c r="F61" s="199">
        <f>C61*'System Calculation'!$I$13</f>
        <v>0</v>
      </c>
      <c r="G61" s="20">
        <f>'SC_Loop 1'!G61</f>
        <v>2.3260000000000003E-2</v>
      </c>
      <c r="H61" s="57">
        <f t="shared" si="3"/>
        <v>0</v>
      </c>
      <c r="I61" s="49" t="str">
        <f t="shared" si="14"/>
        <v xml:space="preserve"> </v>
      </c>
      <c r="J61" s="49"/>
      <c r="K61" s="49"/>
      <c r="L61" s="49" t="str">
        <f t="shared" si="13"/>
        <v xml:space="preserve"> </v>
      </c>
      <c r="M61" s="106" t="str">
        <f t="shared" si="15"/>
        <v xml:space="preserve"> </v>
      </c>
    </row>
    <row r="62" spans="1:15" ht="25" x14ac:dyDescent="0.25">
      <c r="A62" s="115" t="str">
        <f>'SC_Loop 1'!A62</f>
        <v>MAD-569-I (External PS)</v>
      </c>
      <c r="B62" s="208" t="str">
        <f>'SC_Loop 1'!B62</f>
        <v>Sounder &amp; VAD base with isolator</v>
      </c>
      <c r="C62" s="97"/>
      <c r="D62" s="20">
        <f>'SC_Loop 1'!D62</f>
        <v>2.5889999999999995E-4</v>
      </c>
      <c r="E62" s="57">
        <f t="shared" si="2"/>
        <v>0</v>
      </c>
      <c r="F62" s="199">
        <f>C62*'System Calculation'!$I$13</f>
        <v>0</v>
      </c>
      <c r="G62" s="20">
        <f>'SC_Loop 1'!G62</f>
        <v>7.1000000000000002E-4</v>
      </c>
      <c r="H62" s="57">
        <f t="shared" si="3"/>
        <v>0</v>
      </c>
      <c r="I62" s="49" t="str">
        <f t="shared" si="14"/>
        <v xml:space="preserve"> </v>
      </c>
      <c r="J62" s="49"/>
      <c r="K62" s="49"/>
      <c r="L62" s="49" t="str">
        <f t="shared" si="13"/>
        <v xml:space="preserve"> </v>
      </c>
      <c r="M62" s="106" t="str">
        <f t="shared" si="15"/>
        <v xml:space="preserve"> </v>
      </c>
      <c r="O62" s="13" t="str">
        <f>IF(AND(C61&gt;0),"Info: External 24V needed. EN 54-4 certificate."," ")</f>
        <v xml:space="preserve"> </v>
      </c>
    </row>
    <row r="63" spans="1:15" ht="25" x14ac:dyDescent="0.25">
      <c r="A63" s="115" t="str">
        <f>'SC_Loop 1'!A63</f>
        <v>MAD-569-I - only flash (loop)</v>
      </c>
      <c r="B63" s="208" t="str">
        <f>'SC_Loop 1'!B63</f>
        <v>VAD base with isolator</v>
      </c>
      <c r="C63" s="97"/>
      <c r="D63" s="20">
        <f>'SC_Loop 1'!D63</f>
        <v>1.17E-3</v>
      </c>
      <c r="E63" s="57">
        <f t="shared" si="2"/>
        <v>0</v>
      </c>
      <c r="F63" s="199">
        <f>C63*'System Calculation'!$I$13</f>
        <v>0</v>
      </c>
      <c r="G63" s="20">
        <f>'SC_Loop 1'!G63</f>
        <v>2.3260000000000003E-2</v>
      </c>
      <c r="H63" s="57">
        <f t="shared" si="3"/>
        <v>0</v>
      </c>
      <c r="I63" s="49" t="str">
        <f t="shared" si="14"/>
        <v xml:space="preserve"> </v>
      </c>
      <c r="J63" s="49"/>
      <c r="K63" s="49"/>
      <c r="L63" s="49" t="str">
        <f t="shared" si="13"/>
        <v xml:space="preserve"> </v>
      </c>
      <c r="M63" s="106" t="str">
        <f t="shared" si="15"/>
        <v xml:space="preserve"> </v>
      </c>
    </row>
    <row r="64" spans="1:15" ht="25" x14ac:dyDescent="0.25">
      <c r="A64" s="115" t="str">
        <f>'SC_Loop 1'!A64</f>
        <v>MAD-569-I only flash (External PS)</v>
      </c>
      <c r="B64" s="208" t="str">
        <f>'SC_Loop 1'!B64</f>
        <v>VAD base with isolator</v>
      </c>
      <c r="C64" s="97"/>
      <c r="D64" s="20">
        <f>'SC_Loop 1'!D64</f>
        <v>2.5889999999999995E-4</v>
      </c>
      <c r="E64" s="57">
        <f t="shared" si="2"/>
        <v>0</v>
      </c>
      <c r="F64" s="199">
        <f>C64*'System Calculation'!$I$13</f>
        <v>0</v>
      </c>
      <c r="G64" s="20">
        <f>'SC_Loop 1'!G64</f>
        <v>7.1000000000000002E-4</v>
      </c>
      <c r="H64" s="57">
        <f t="shared" si="3"/>
        <v>0</v>
      </c>
      <c r="I64" s="49" t="str">
        <f t="shared" si="14"/>
        <v xml:space="preserve"> </v>
      </c>
      <c r="J64" s="49"/>
      <c r="K64" s="49"/>
      <c r="L64" s="49" t="str">
        <f t="shared" si="13"/>
        <v xml:space="preserve"> </v>
      </c>
      <c r="M64" s="106" t="str">
        <f t="shared" si="15"/>
        <v xml:space="preserve"> </v>
      </c>
      <c r="O64" s="13" t="str">
        <f>IF(AND(C63&gt;0),"Info: External 24V needed. EN 54-4 certificate."," ")</f>
        <v xml:space="preserve"> </v>
      </c>
    </row>
    <row r="65" spans="1:15" x14ac:dyDescent="0.25">
      <c r="A65" s="115" t="str">
        <f>'SC_Loop 1'!A65</f>
        <v>MAD-472</v>
      </c>
      <c r="B65" s="208" t="str">
        <f>'SC_Loop 1'!B65</f>
        <v>Sounder base</v>
      </c>
      <c r="C65" s="97"/>
      <c r="D65" s="20">
        <f>'SC_Loop 1'!D65</f>
        <v>1.0739999999999999E-4</v>
      </c>
      <c r="E65" s="57">
        <f>C65*D65</f>
        <v>0</v>
      </c>
      <c r="F65" s="199">
        <f>C65*'System Calculation'!$I$13</f>
        <v>0</v>
      </c>
      <c r="G65" s="20">
        <f>'SC_Loop 1'!G65</f>
        <v>8.4499999999999992E-3</v>
      </c>
      <c r="H65" s="57">
        <f t="shared" si="3"/>
        <v>0</v>
      </c>
      <c r="I65" s="49" t="str">
        <f t="shared" si="14"/>
        <v xml:space="preserve"> </v>
      </c>
      <c r="J65" s="49"/>
      <c r="K65" s="49"/>
      <c r="L65" s="49" t="str">
        <f t="shared" si="13"/>
        <v xml:space="preserve"> </v>
      </c>
      <c r="M65" s="106" t="str">
        <f t="shared" si="15"/>
        <v xml:space="preserve"> </v>
      </c>
      <c r="O65" s="13" t="str">
        <f>IF(AND(C65&gt;0),"Info: External 24V needed. EN 54-4 certificate."," ")</f>
        <v xml:space="preserve"> </v>
      </c>
    </row>
    <row r="66" spans="1:15" ht="25" x14ac:dyDescent="0.25">
      <c r="A66" s="115" t="str">
        <f>'SC_Loop 1'!A66</f>
        <v>MAD-473</v>
      </c>
      <c r="B66" s="208" t="str">
        <f>'SC_Loop 1'!B66</f>
        <v>Sounder base with flash</v>
      </c>
      <c r="C66" s="97"/>
      <c r="D66" s="20">
        <f>'SC_Loop 1'!D66</f>
        <v>1.0679999999999999E-4</v>
      </c>
      <c r="E66" s="57">
        <f t="shared" si="2"/>
        <v>0</v>
      </c>
      <c r="F66" s="199">
        <f>C66*'System Calculation'!$I$13</f>
        <v>0</v>
      </c>
      <c r="G66" s="20">
        <f>'SC_Loop 1'!G66</f>
        <v>9.4800000000000006E-3</v>
      </c>
      <c r="H66" s="57">
        <f t="shared" si="3"/>
        <v>0</v>
      </c>
      <c r="I66" s="49" t="str">
        <f t="shared" si="14"/>
        <v xml:space="preserve"> </v>
      </c>
      <c r="J66" s="49"/>
      <c r="K66" s="49"/>
      <c r="L66" s="49" t="str">
        <f t="shared" si="13"/>
        <v xml:space="preserve"> </v>
      </c>
      <c r="M66" s="106" t="str">
        <f t="shared" si="15"/>
        <v xml:space="preserve"> </v>
      </c>
    </row>
    <row r="67" spans="1:15" ht="25" x14ac:dyDescent="0.25">
      <c r="A67" s="115" t="str">
        <f>'SC_Loop 1'!A67</f>
        <v>MAD-481</v>
      </c>
      <c r="B67" s="208" t="str">
        <f>'SC_Loop 1'!B67</f>
        <v>1 output 230V addressable module</v>
      </c>
      <c r="C67" s="97"/>
      <c r="D67" s="20">
        <f>'SC_Loop 1'!D67</f>
        <v>2.9999999999999997E-4</v>
      </c>
      <c r="E67" s="57">
        <f t="shared" si="2"/>
        <v>0</v>
      </c>
      <c r="F67" s="199">
        <f>C67*'System Calculation'!$I$14</f>
        <v>0</v>
      </c>
      <c r="G67" s="20">
        <f>'SC_Loop 1'!G67</f>
        <v>3.0000000000000001E-3</v>
      </c>
      <c r="H67" s="57">
        <f t="shared" si="3"/>
        <v>0</v>
      </c>
      <c r="I67" s="49"/>
      <c r="J67" s="49"/>
      <c r="K67" s="49" t="str">
        <f>IF(C67&lt;&gt;0,C67," ")</f>
        <v xml:space="preserve"> </v>
      </c>
      <c r="L67" s="49"/>
      <c r="M67" s="106" t="str">
        <f>IF(K67&lt;&gt;0,K67," ")</f>
        <v xml:space="preserve"> </v>
      </c>
    </row>
    <row r="68" spans="1:15" ht="37.5" x14ac:dyDescent="0.25">
      <c r="A68" s="115" t="str">
        <f>'SC_Loop 1'!A68</f>
        <v>MAD-481-I</v>
      </c>
      <c r="B68" s="208" t="str">
        <f>'SC_Loop 1'!B68</f>
        <v>1 output 230V addressable module with isolator</v>
      </c>
      <c r="C68" s="97"/>
      <c r="D68" s="20">
        <f>'SC_Loop 1'!D68</f>
        <v>2.9999999999999997E-4</v>
      </c>
      <c r="E68" s="57">
        <f t="shared" si="2"/>
        <v>0</v>
      </c>
      <c r="F68" s="199">
        <f>C68*'System Calculation'!$I$14</f>
        <v>0</v>
      </c>
      <c r="G68" s="20">
        <f>'SC_Loop 1'!G68</f>
        <v>3.0000000000000001E-3</v>
      </c>
      <c r="H68" s="57">
        <f t="shared" si="3"/>
        <v>0</v>
      </c>
      <c r="I68" s="49"/>
      <c r="J68" s="49"/>
      <c r="K68" s="49" t="str">
        <f>IF(C68&lt;&gt;0,C68," ")</f>
        <v xml:space="preserve"> </v>
      </c>
      <c r="L68" s="49"/>
      <c r="M68" s="106" t="str">
        <f t="shared" ref="M68:M69" si="17">IF(K68&lt;&gt;0,K68," ")</f>
        <v xml:space="preserve"> </v>
      </c>
      <c r="O68" s="13"/>
    </row>
    <row r="69" spans="1:15" x14ac:dyDescent="0.25">
      <c r="A69" s="115" t="str">
        <f>'SC_Loop 1'!A69</f>
        <v>MAD-490</v>
      </c>
      <c r="B69" s="208" t="str">
        <f>'SC_Loop 1'!B69</f>
        <v>Isolator module</v>
      </c>
      <c r="C69" s="97"/>
      <c r="D69" s="20">
        <f>'SC_Loop 1'!D69</f>
        <v>6.9599999999999998E-5</v>
      </c>
      <c r="E69" s="57">
        <f t="shared" si="2"/>
        <v>0</v>
      </c>
      <c r="F69" s="199">
        <f>C69*'System Calculation'!$I$14</f>
        <v>0</v>
      </c>
      <c r="G69" s="20">
        <f>'SC_Loop 1'!G69</f>
        <v>3.7659999999999999E-2</v>
      </c>
      <c r="H69" s="57">
        <f t="shared" si="3"/>
        <v>0</v>
      </c>
      <c r="I69" s="49"/>
      <c r="J69" s="49"/>
      <c r="K69" s="49" t="str">
        <f>IF(C69&lt;&gt;0,C69," ")</f>
        <v xml:space="preserve"> </v>
      </c>
      <c r="L69" s="49"/>
      <c r="M69" s="106" t="str">
        <f t="shared" si="17"/>
        <v xml:space="preserve"> </v>
      </c>
    </row>
    <row r="70" spans="1:15" ht="25" x14ac:dyDescent="0.25">
      <c r="A70" s="115" t="str">
        <f>'SC_Loop 1'!A70</f>
        <v>PAD-10A-I</v>
      </c>
      <c r="B70" s="208" t="str">
        <f>'SC_Loop 1'!B70</f>
        <v>Remote indicator with isolator</v>
      </c>
      <c r="C70" s="97"/>
      <c r="D70" s="20">
        <f>'SC_Loop 1'!D70</f>
        <v>1.7640000000000001E-4</v>
      </c>
      <c r="E70" s="57">
        <f t="shared" si="2"/>
        <v>0</v>
      </c>
      <c r="F70" s="199">
        <f>IF(C70&gt;10,10,C70)</f>
        <v>0</v>
      </c>
      <c r="G70" s="20">
        <f>'SC_Loop 1'!G70</f>
        <v>2.98E-3</v>
      </c>
      <c r="H70" s="57">
        <f t="shared" si="3"/>
        <v>0</v>
      </c>
      <c r="I70" s="49"/>
      <c r="J70" s="49" t="str">
        <f t="shared" ref="J70" si="18">IF(C70&lt;&gt;0,C70," ")</f>
        <v xml:space="preserve"> </v>
      </c>
      <c r="K70" s="49"/>
      <c r="L70" s="49"/>
      <c r="M70" s="106" t="str">
        <f t="shared" si="4"/>
        <v xml:space="preserve"> </v>
      </c>
    </row>
    <row r="71" spans="1:15" ht="37.5" x14ac:dyDescent="0.25">
      <c r="A71" s="115" t="str">
        <f>'SC_Loop 1'!A71</f>
        <v>TPLD-100 (CCD-102) = 3 loop address</v>
      </c>
      <c r="B71" s="208" t="str">
        <f>'SC_Loop 1'!B71</f>
        <v>2 zones fire alarm control panel connected to loop</v>
      </c>
      <c r="C71" s="97"/>
      <c r="D71" s="20">
        <f>'SC_Loop 1'!D71</f>
        <v>1.8629999999999999E-3</v>
      </c>
      <c r="E71" s="57">
        <f t="shared" si="2"/>
        <v>0</v>
      </c>
      <c r="F71" s="199">
        <f>C71</f>
        <v>0</v>
      </c>
      <c r="G71" s="20">
        <f>'SC_Loop 1'!G71</f>
        <v>1.8600000000000001E-3</v>
      </c>
      <c r="H71" s="57">
        <f t="shared" si="3"/>
        <v>0</v>
      </c>
      <c r="I71" s="49"/>
      <c r="J71" s="49"/>
      <c r="K71" s="49"/>
      <c r="L71" s="49"/>
      <c r="M71" s="106" t="str">
        <f>IF(C75&lt;&gt;0,3*C75," ")</f>
        <v xml:space="preserve"> </v>
      </c>
    </row>
    <row r="72" spans="1:15" ht="37.5" x14ac:dyDescent="0.25">
      <c r="A72" s="115" t="str">
        <f>'SC_Loop 1'!A72</f>
        <v>TPLD-100 (CCD-104) = 5 loop address</v>
      </c>
      <c r="B72" s="208" t="str">
        <f>'SC_Loop 1'!B72</f>
        <v>4 zones fire alarm control panel connected to loop</v>
      </c>
      <c r="C72" s="97"/>
      <c r="D72" s="20">
        <f>'SC_Loop 1'!D72</f>
        <v>1.8629999999999999E-3</v>
      </c>
      <c r="E72" s="57">
        <f t="shared" si="2"/>
        <v>0</v>
      </c>
      <c r="F72" s="199">
        <f t="shared" ref="F72:F75" si="19">C72</f>
        <v>0</v>
      </c>
      <c r="G72" s="20">
        <f>'SC_Loop 1'!G72</f>
        <v>1.8600000000000001E-3</v>
      </c>
      <c r="H72" s="57">
        <f t="shared" si="3"/>
        <v>0</v>
      </c>
      <c r="I72" s="49"/>
      <c r="J72" s="49"/>
      <c r="K72" s="49"/>
      <c r="L72" s="49"/>
      <c r="M72" s="106" t="str">
        <f>IF(C75&lt;&gt;0,5*C75," ")</f>
        <v xml:space="preserve"> </v>
      </c>
    </row>
    <row r="73" spans="1:15" ht="37.5" x14ac:dyDescent="0.25">
      <c r="A73" s="115" t="str">
        <f>'SC_Loop 1'!A73</f>
        <v>TPLD-100 (CCD-108) = 9 loop address</v>
      </c>
      <c r="B73" s="208" t="str">
        <f>'SC_Loop 1'!B73</f>
        <v>8 zones fire alarm control panel connected to loop</v>
      </c>
      <c r="C73" s="97"/>
      <c r="D73" s="20">
        <f>'SC_Loop 1'!D73</f>
        <v>1.8629999999999999E-3</v>
      </c>
      <c r="E73" s="57">
        <f t="shared" si="2"/>
        <v>0</v>
      </c>
      <c r="F73" s="199">
        <f t="shared" si="19"/>
        <v>0</v>
      </c>
      <c r="G73" s="20">
        <f>'SC_Loop 1'!G73</f>
        <v>1.8600000000000001E-3</v>
      </c>
      <c r="H73" s="57">
        <f t="shared" si="3"/>
        <v>0</v>
      </c>
      <c r="I73" s="49"/>
      <c r="J73" s="49"/>
      <c r="K73" s="49"/>
      <c r="L73" s="49"/>
      <c r="M73" s="106" t="str">
        <f>IF(C75&lt;&gt;0,9*C75," ")</f>
        <v xml:space="preserve"> </v>
      </c>
    </row>
    <row r="74" spans="1:15" ht="37.5" x14ac:dyDescent="0.25">
      <c r="A74" s="115" t="str">
        <f>'SC_Loop 1'!A74</f>
        <v>TPLD-100 (CCD-112) = 13 loop address</v>
      </c>
      <c r="B74" s="208" t="str">
        <f>'SC_Loop 1'!B74</f>
        <v>12 zones fire alarm control panel connected to loop</v>
      </c>
      <c r="C74" s="97"/>
      <c r="D74" s="20">
        <f>'SC_Loop 1'!D74</f>
        <v>1.8629999999999999E-3</v>
      </c>
      <c r="E74" s="57">
        <f t="shared" si="2"/>
        <v>0</v>
      </c>
      <c r="F74" s="199">
        <f t="shared" si="19"/>
        <v>0</v>
      </c>
      <c r="G74" s="20">
        <f>'SC_Loop 1'!G74</f>
        <v>1.8600000000000001E-3</v>
      </c>
      <c r="H74" s="57">
        <f t="shared" si="3"/>
        <v>0</v>
      </c>
      <c r="I74" s="49"/>
      <c r="J74" s="49"/>
      <c r="K74" s="49"/>
      <c r="L74" s="49"/>
      <c r="M74" s="106" t="str">
        <f>IF(C75&lt;&gt;0,13*C75," ")</f>
        <v xml:space="preserve"> </v>
      </c>
    </row>
    <row r="75" spans="1:15" ht="38.5" thickBot="1" x14ac:dyDescent="0.35">
      <c r="A75" s="115" t="str">
        <f>'SC_Loop 1'!A75</f>
        <v>TPLD-100 (CCD-103) = 7 loop address</v>
      </c>
      <c r="B75" s="208" t="str">
        <f>'SC_Loop 1'!B75</f>
        <v>Extinguishing control panel connected to loop</v>
      </c>
      <c r="C75" s="97"/>
      <c r="D75" s="171">
        <f>'SC_Loop 1'!D75</f>
        <v>1.8629999999999999E-3</v>
      </c>
      <c r="E75" s="111">
        <f t="shared" si="2"/>
        <v>0</v>
      </c>
      <c r="F75" s="199">
        <f t="shared" si="19"/>
        <v>0</v>
      </c>
      <c r="G75" s="171">
        <f>'SC_Loop 1'!G75</f>
        <v>1.8600000000000001E-3</v>
      </c>
      <c r="H75" s="111">
        <f t="shared" si="3"/>
        <v>0</v>
      </c>
      <c r="I75" s="39"/>
      <c r="J75" s="39"/>
      <c r="K75" s="39"/>
      <c r="L75" s="121"/>
      <c r="M75" s="112" t="str">
        <f>IF(C75&lt;&gt;0,7*C75," ")</f>
        <v xml:space="preserve"> </v>
      </c>
    </row>
    <row r="76" spans="1:15" s="7" customFormat="1" ht="13.5" thickBot="1" x14ac:dyDescent="0.35">
      <c r="A76" s="15" t="s">
        <v>8</v>
      </c>
      <c r="B76" s="205"/>
      <c r="C76" s="62">
        <f>SUM(C15:C69)+SUM(M72:M75)</f>
        <v>0</v>
      </c>
      <c r="D76" s="213"/>
      <c r="E76" s="59">
        <f>SUM(E15:E75)</f>
        <v>0</v>
      </c>
      <c r="F76" s="61">
        <f>SUM(F15:F69)</f>
        <v>0</v>
      </c>
      <c r="G76" s="212"/>
      <c r="H76" s="59">
        <f t="shared" ref="H76:M76" si="20">SUM(H15:H75)</f>
        <v>0</v>
      </c>
      <c r="I76" s="59">
        <f t="shared" si="20"/>
        <v>0</v>
      </c>
      <c r="J76" s="62">
        <f t="shared" si="20"/>
        <v>0</v>
      </c>
      <c r="K76" s="62">
        <f t="shared" si="20"/>
        <v>0</v>
      </c>
      <c r="L76" s="62">
        <f t="shared" si="20"/>
        <v>0</v>
      </c>
      <c r="M76" s="122">
        <f t="shared" si="20"/>
        <v>0</v>
      </c>
      <c r="O76"/>
    </row>
    <row r="77" spans="1:15" s="7" customFormat="1" ht="13" x14ac:dyDescent="0.3">
      <c r="C77" s="102"/>
      <c r="D77" s="103"/>
      <c r="E77" s="104"/>
      <c r="F77" s="105"/>
      <c r="G77" s="104"/>
      <c r="H77" s="104"/>
      <c r="I77" s="104"/>
      <c r="J77" s="104"/>
      <c r="K77" s="104"/>
      <c r="L77" s="102"/>
      <c r="M77" s="102"/>
    </row>
    <row r="78" spans="1:15" ht="14.4" customHeight="1" thickBot="1" x14ac:dyDescent="0.35">
      <c r="F78" s="26"/>
      <c r="L78" s="130" t="str">
        <f>IF($M$76&gt;250,"Error: The Loop cannot contain more than 250 addresses","")</f>
        <v/>
      </c>
      <c r="O78" s="7"/>
    </row>
    <row r="79" spans="1:15" ht="14.4" customHeight="1" thickBot="1" x14ac:dyDescent="0.35">
      <c r="A79" s="15" t="s">
        <v>136</v>
      </c>
      <c r="B79" s="113"/>
      <c r="C79" s="114"/>
      <c r="D79" s="26"/>
    </row>
    <row r="80" spans="1:15" ht="14.4" customHeight="1" x14ac:dyDescent="0.3">
      <c r="A80" s="96" t="s">
        <v>137</v>
      </c>
      <c r="B80" s="120">
        <v>1.72E-2</v>
      </c>
      <c r="C80" s="117" t="s">
        <v>138</v>
      </c>
      <c r="D80" s="26"/>
    </row>
    <row r="81" spans="1:12" ht="14.4" customHeight="1" x14ac:dyDescent="0.3">
      <c r="A81" s="21" t="s">
        <v>139</v>
      </c>
      <c r="B81" s="119">
        <f>E76</f>
        <v>0</v>
      </c>
      <c r="C81" s="95" t="s">
        <v>9</v>
      </c>
      <c r="D81" s="26"/>
    </row>
    <row r="82" spans="1:12" ht="14.4" customHeight="1" x14ac:dyDescent="0.3">
      <c r="A82" s="21" t="s">
        <v>140</v>
      </c>
      <c r="B82" s="119">
        <f>H76-I76</f>
        <v>0</v>
      </c>
      <c r="C82" s="95" t="s">
        <v>9</v>
      </c>
      <c r="D82" s="26"/>
    </row>
    <row r="83" spans="1:12" ht="14.4" customHeight="1" x14ac:dyDescent="0.3">
      <c r="A83" s="21" t="s">
        <v>141</v>
      </c>
      <c r="B83" s="119">
        <f>I76</f>
        <v>0</v>
      </c>
      <c r="C83" s="95" t="s">
        <v>9</v>
      </c>
      <c r="D83" s="26"/>
    </row>
    <row r="84" spans="1:12" ht="14.4" customHeight="1" x14ac:dyDescent="0.3">
      <c r="A84" s="21" t="s">
        <v>142</v>
      </c>
      <c r="B84" s="119">
        <f>SUM(B82:B83)</f>
        <v>0</v>
      </c>
      <c r="C84" s="95" t="s">
        <v>9</v>
      </c>
      <c r="D84" s="26"/>
    </row>
    <row r="85" spans="1:12" ht="14.4" customHeight="1" thickBot="1" x14ac:dyDescent="0.35">
      <c r="A85" s="22" t="s">
        <v>143</v>
      </c>
      <c r="B85" s="107">
        <v>6.9</v>
      </c>
      <c r="C85" s="28" t="s">
        <v>144</v>
      </c>
      <c r="D85" s="26"/>
    </row>
    <row r="86" spans="1:12" ht="14.4" customHeight="1" thickBot="1" x14ac:dyDescent="0.35">
      <c r="A86" s="13"/>
      <c r="E86" s="26"/>
    </row>
    <row r="87" spans="1:12" ht="14.4" customHeight="1" thickBot="1" x14ac:dyDescent="0.35">
      <c r="A87" s="8" t="s">
        <v>154</v>
      </c>
      <c r="B87" s="127"/>
      <c r="C87" s="127"/>
      <c r="D87" s="127"/>
      <c r="E87" s="139"/>
      <c r="F87" s="127"/>
      <c r="G87" s="127"/>
      <c r="H87" s="127"/>
      <c r="I87" s="127"/>
      <c r="J87" s="127"/>
      <c r="K87" s="128"/>
      <c r="L87" s="131" t="s">
        <v>150</v>
      </c>
    </row>
    <row r="88" spans="1:12" ht="14.4" customHeight="1" x14ac:dyDescent="0.25">
      <c r="A88" s="145" t="s">
        <v>155</v>
      </c>
      <c r="B88" s="41">
        <v>1000</v>
      </c>
      <c r="C88" s="41">
        <v>1500</v>
      </c>
      <c r="D88" s="41"/>
      <c r="E88" s="41">
        <v>2000</v>
      </c>
      <c r="F88" s="41"/>
      <c r="G88" s="41"/>
      <c r="H88" s="41">
        <v>2500</v>
      </c>
      <c r="I88" s="41">
        <v>3000</v>
      </c>
      <c r="J88" s="141">
        <v>3500</v>
      </c>
      <c r="K88" s="132" t="s">
        <v>151</v>
      </c>
    </row>
    <row r="89" spans="1:12" ht="14.4" customHeight="1" x14ac:dyDescent="0.25">
      <c r="A89" s="48" t="s">
        <v>156</v>
      </c>
      <c r="B89" s="134" t="e">
        <f>((($B$80*B88)/B91)*2)</f>
        <v>#DIV/0!</v>
      </c>
      <c r="C89" s="134" t="e">
        <f t="shared" ref="C89" si="21">((($B$80*C88)/C91)*2)</f>
        <v>#DIV/0!</v>
      </c>
      <c r="D89" s="134"/>
      <c r="E89" s="134" t="e">
        <f t="shared" ref="E89:J89" si="22">((($B$80*E88)/E91)*2)</f>
        <v>#DIV/0!</v>
      </c>
      <c r="F89" s="134" t="e">
        <f t="shared" si="22"/>
        <v>#DIV/0!</v>
      </c>
      <c r="G89" s="134"/>
      <c r="H89" s="134" t="e">
        <f t="shared" si="22"/>
        <v>#DIV/0!</v>
      </c>
      <c r="I89" s="134" t="e">
        <f t="shared" si="22"/>
        <v>#DIV/0!</v>
      </c>
      <c r="J89" s="134" t="e">
        <f t="shared" si="22"/>
        <v>#DIV/0!</v>
      </c>
      <c r="K89" s="133" t="s">
        <v>152</v>
      </c>
    </row>
    <row r="90" spans="1:12" ht="14.4" customHeight="1" thickBot="1" x14ac:dyDescent="0.3">
      <c r="A90" s="144" t="s">
        <v>157</v>
      </c>
      <c r="B90" s="134" t="e">
        <f>B89/2</f>
        <v>#DIV/0!</v>
      </c>
      <c r="C90" s="134" t="e">
        <f t="shared" ref="C90" si="23">C89/2</f>
        <v>#DIV/0!</v>
      </c>
      <c r="D90" s="134"/>
      <c r="E90" s="134" t="e">
        <f t="shared" ref="E90:F90" si="24">E89/2</f>
        <v>#DIV/0!</v>
      </c>
      <c r="F90" s="134" t="e">
        <f t="shared" si="24"/>
        <v>#DIV/0!</v>
      </c>
      <c r="G90" s="134"/>
      <c r="H90" s="134" t="e">
        <f>H89/2</f>
        <v>#DIV/0!</v>
      </c>
      <c r="I90" s="134" t="e">
        <f>I89/2</f>
        <v>#DIV/0!</v>
      </c>
      <c r="J90" s="134" t="e">
        <f>J89/2</f>
        <v>#DIV/0!</v>
      </c>
      <c r="K90" s="143" t="s">
        <v>152</v>
      </c>
    </row>
    <row r="91" spans="1:12" ht="14.4" customHeight="1" thickBot="1" x14ac:dyDescent="0.35">
      <c r="A91" s="15" t="s">
        <v>158</v>
      </c>
      <c r="B91" s="168" t="e">
        <f t="shared" ref="B91:J91" si="25">IF((($B$80*B$88)/(($B$85-((SUM($C$16,$C$18,$C$20,$C$22)*0.155)*$B$84))/$B$84))&lt;0.5,0.5,(($B$80*B$88)/(($B$85-((SUM($C$16,$C$18,$C$20,$C$22)*0.155)*$B$84))/$B$84)))</f>
        <v>#DIV/0!</v>
      </c>
      <c r="C91" s="168" t="e">
        <f t="shared" si="25"/>
        <v>#DIV/0!</v>
      </c>
      <c r="D91" s="168" t="e">
        <f t="shared" si="25"/>
        <v>#DIV/0!</v>
      </c>
      <c r="E91" s="168" t="e">
        <f t="shared" si="25"/>
        <v>#DIV/0!</v>
      </c>
      <c r="F91" s="168" t="e">
        <f t="shared" si="25"/>
        <v>#DIV/0!</v>
      </c>
      <c r="G91" s="168" t="e">
        <f t="shared" si="25"/>
        <v>#DIV/0!</v>
      </c>
      <c r="H91" s="168" t="e">
        <f t="shared" si="25"/>
        <v>#DIV/0!</v>
      </c>
      <c r="I91" s="168" t="e">
        <f t="shared" si="25"/>
        <v>#DIV/0!</v>
      </c>
      <c r="J91" s="168" t="e">
        <f t="shared" si="25"/>
        <v>#DIV/0!</v>
      </c>
      <c r="K91" s="94" t="s">
        <v>130</v>
      </c>
    </row>
    <row r="92" spans="1:12" ht="14.4" customHeight="1" thickBot="1" x14ac:dyDescent="0.35">
      <c r="A92" s="13"/>
      <c r="E92" s="26"/>
    </row>
    <row r="93" spans="1:12" ht="14.4" customHeight="1" thickBot="1" x14ac:dyDescent="0.35">
      <c r="A93" s="8" t="s">
        <v>159</v>
      </c>
      <c r="B93" s="127"/>
      <c r="C93" s="127"/>
      <c r="D93" s="127"/>
      <c r="E93" s="139"/>
      <c r="F93" s="127"/>
      <c r="G93" s="127"/>
      <c r="H93" s="127"/>
      <c r="I93" s="127"/>
      <c r="J93" s="127"/>
      <c r="K93" s="128"/>
      <c r="L93" s="131" t="s">
        <v>153</v>
      </c>
    </row>
    <row r="94" spans="1:12" ht="14.4" customHeight="1" x14ac:dyDescent="0.25">
      <c r="A94" s="132" t="s">
        <v>160</v>
      </c>
      <c r="B94" s="37">
        <v>0.5</v>
      </c>
      <c r="C94" s="41">
        <v>0.75</v>
      </c>
      <c r="D94" s="41"/>
      <c r="E94" s="41">
        <v>1</v>
      </c>
      <c r="F94" s="41"/>
      <c r="G94" s="41"/>
      <c r="H94" s="41">
        <v>1.5</v>
      </c>
      <c r="I94" s="41">
        <v>2.5</v>
      </c>
      <c r="J94" s="141">
        <v>4</v>
      </c>
      <c r="K94" s="132" t="s">
        <v>130</v>
      </c>
    </row>
    <row r="95" spans="1:12" ht="14.4" customHeight="1" x14ac:dyDescent="0.25">
      <c r="A95" s="140" t="s">
        <v>156</v>
      </c>
      <c r="B95" s="134" t="e">
        <f t="shared" ref="B95:J95" si="26">$B$80*B97/B94*2</f>
        <v>#DIV/0!</v>
      </c>
      <c r="C95" s="134" t="e">
        <f t="shared" si="26"/>
        <v>#DIV/0!</v>
      </c>
      <c r="D95" s="134"/>
      <c r="E95" s="134" t="e">
        <f t="shared" ref="E95" si="27">$B$80*E97/E94*2</f>
        <v>#DIV/0!</v>
      </c>
      <c r="F95" s="134" t="e">
        <f t="shared" si="26"/>
        <v>#DIV/0!</v>
      </c>
      <c r="G95" s="134"/>
      <c r="H95" s="134" t="e">
        <f t="shared" si="26"/>
        <v>#DIV/0!</v>
      </c>
      <c r="I95" s="134" t="e">
        <f t="shared" si="26"/>
        <v>#DIV/0!</v>
      </c>
      <c r="J95" s="134" t="e">
        <f t="shared" si="26"/>
        <v>#DIV/0!</v>
      </c>
      <c r="K95" s="133" t="s">
        <v>152</v>
      </c>
    </row>
    <row r="96" spans="1:12" ht="14.4" customHeight="1" thickBot="1" x14ac:dyDescent="0.3">
      <c r="A96" s="142" t="s">
        <v>157</v>
      </c>
      <c r="B96" s="134" t="e">
        <f>B95/2</f>
        <v>#DIV/0!</v>
      </c>
      <c r="C96" s="134" t="e">
        <f t="shared" ref="C96" si="28">C95/2</f>
        <v>#DIV/0!</v>
      </c>
      <c r="D96" s="134"/>
      <c r="E96" s="134" t="e">
        <f t="shared" ref="E96:F96" si="29">E95/2</f>
        <v>#DIV/0!</v>
      </c>
      <c r="F96" s="134" t="e">
        <f t="shared" si="29"/>
        <v>#DIV/0!</v>
      </c>
      <c r="G96" s="134"/>
      <c r="H96" s="134" t="e">
        <f>H95/2</f>
        <v>#DIV/0!</v>
      </c>
      <c r="I96" s="134" t="e">
        <f>I95/2</f>
        <v>#DIV/0!</v>
      </c>
      <c r="J96" s="134" t="e">
        <f>J95/2</f>
        <v>#DIV/0!</v>
      </c>
      <c r="K96" s="143" t="s">
        <v>152</v>
      </c>
    </row>
    <row r="97" spans="1:13" ht="14.4" customHeight="1" thickBot="1" x14ac:dyDescent="0.35">
      <c r="A97" s="94" t="s">
        <v>161</v>
      </c>
      <c r="B97" s="168" t="e">
        <f t="shared" ref="B97:J97" si="30">IF((((($B$85-((SUM($C$16,$C$18,$C$20,$C$22)*0.155)*$B$84))/$B$84)*B$94)/$B$80)&gt;3500,3500,(((($B$85-((SUM($C$16,$C$18,$C$20,$C$22)*0.155)*$B$84))/$B$84)*B$94)/$B$80))</f>
        <v>#DIV/0!</v>
      </c>
      <c r="C97" s="168" t="e">
        <f t="shared" si="30"/>
        <v>#DIV/0!</v>
      </c>
      <c r="D97" s="168" t="e">
        <f t="shared" si="30"/>
        <v>#DIV/0!</v>
      </c>
      <c r="E97" s="168" t="e">
        <f t="shared" si="30"/>
        <v>#DIV/0!</v>
      </c>
      <c r="F97" s="168" t="e">
        <f t="shared" si="30"/>
        <v>#DIV/0!</v>
      </c>
      <c r="G97" s="168" t="e">
        <f t="shared" si="30"/>
        <v>#DIV/0!</v>
      </c>
      <c r="H97" s="168" t="e">
        <f t="shared" si="30"/>
        <v>#DIV/0!</v>
      </c>
      <c r="I97" s="168" t="e">
        <f t="shared" si="30"/>
        <v>#DIV/0!</v>
      </c>
      <c r="J97" s="168" t="e">
        <f t="shared" si="30"/>
        <v>#DIV/0!</v>
      </c>
      <c r="K97" s="94" t="s">
        <v>151</v>
      </c>
    </row>
    <row r="98" spans="1:13" ht="14.4" customHeight="1" thickBot="1" x14ac:dyDescent="0.35">
      <c r="A98" s="13"/>
      <c r="E98" s="26"/>
    </row>
    <row r="99" spans="1:13" ht="14.4" customHeight="1" thickBot="1" x14ac:dyDescent="0.35">
      <c r="A99" s="8" t="s">
        <v>162</v>
      </c>
      <c r="B99" s="127"/>
      <c r="C99" s="128"/>
      <c r="D99" s="26"/>
    </row>
    <row r="100" spans="1:13" ht="14.4" customHeight="1" x14ac:dyDescent="0.3">
      <c r="A100" s="96" t="s">
        <v>163</v>
      </c>
      <c r="B100" s="41">
        <f>$B$8</f>
        <v>1.5</v>
      </c>
      <c r="C100" s="98" t="s">
        <v>130</v>
      </c>
      <c r="D100" s="26"/>
      <c r="G100" s="130" t="str">
        <f>IF(B100&lt;0.5,"Error: The Minimum Cable Seccion in the Loop is 0,5 mm2","")</f>
        <v/>
      </c>
    </row>
    <row r="101" spans="1:13" ht="14.4" customHeight="1" x14ac:dyDescent="0.3">
      <c r="A101" s="21" t="s">
        <v>164</v>
      </c>
      <c r="B101" s="49">
        <f>$B$9</f>
        <v>1000</v>
      </c>
      <c r="C101" s="95" t="s">
        <v>130</v>
      </c>
      <c r="D101" s="26"/>
      <c r="G101" s="130" t="str">
        <f>IF(B101&gt;3500,"Error: The Maximum Lenght in the Line is 3500 meters","")</f>
        <v/>
      </c>
    </row>
    <row r="102" spans="1:13" ht="14.4" customHeight="1" x14ac:dyDescent="0.3">
      <c r="A102" s="21" t="s">
        <v>165</v>
      </c>
      <c r="B102" s="136">
        <f>((($B$80*B101)/B100)*2)+(SUM(C16,C18,C20,C22,)*0.155)</f>
        <v>22.933333333333334</v>
      </c>
      <c r="C102" s="106" t="s">
        <v>152</v>
      </c>
      <c r="D102" s="26"/>
    </row>
    <row r="103" spans="1:13" ht="14.4" customHeight="1" thickBot="1" x14ac:dyDescent="0.35">
      <c r="A103" s="22" t="s">
        <v>166</v>
      </c>
      <c r="B103" s="135">
        <f>B102/2</f>
        <v>11.466666666666667</v>
      </c>
      <c r="C103" s="108" t="s">
        <v>152</v>
      </c>
      <c r="D103" s="26"/>
    </row>
    <row r="104" spans="1:13" ht="14.4" customHeight="1" thickBot="1" x14ac:dyDescent="0.35">
      <c r="A104" s="146" t="s">
        <v>167</v>
      </c>
      <c r="B104" s="147">
        <f>$B$85/$B$103</f>
        <v>0.6017441860465117</v>
      </c>
      <c r="C104" s="147" t="s">
        <v>9</v>
      </c>
      <c r="D104" s="26"/>
    </row>
    <row r="105" spans="1:13" ht="14.4" customHeight="1" thickBot="1" x14ac:dyDescent="0.35">
      <c r="A105" s="8" t="s">
        <v>133</v>
      </c>
      <c r="B105" s="127"/>
      <c r="C105" s="128"/>
      <c r="D105" s="26"/>
    </row>
    <row r="106" spans="1:13" ht="14.4" customHeight="1" thickBot="1" x14ac:dyDescent="0.35">
      <c r="A106" s="8" t="s">
        <v>134</v>
      </c>
      <c r="B106" s="128"/>
      <c r="C106" s="138" t="str">
        <f>IF($B$84&gt;0.4,"FAIL",IF($B$104&gt;=$B$84,"OK","FAIL"))</f>
        <v>OK</v>
      </c>
      <c r="D106" s="26"/>
      <c r="G106" s="130" t="str">
        <f>IF($B$84&gt;0.4,"Error: The Loop Current is upper that Maximum Current allowed",IF($B$104&lt;$B$84,"Error: The Loop Current is upper that Maximum Current allowed",""))</f>
        <v/>
      </c>
    </row>
    <row r="107" spans="1:13" ht="14.4" customHeight="1" thickBot="1" x14ac:dyDescent="0.35">
      <c r="A107" s="8" t="s">
        <v>135</v>
      </c>
      <c r="B107" s="128"/>
      <c r="C107" s="137" t="str">
        <f>IF($M$76&lt;=250,"OK","FAIL")</f>
        <v>OK</v>
      </c>
      <c r="D107" s="26"/>
      <c r="G107" s="130" t="str">
        <f>IF($M$76&gt;250,"Error: The Loop cannot contain more than 250 addresses","")</f>
        <v/>
      </c>
    </row>
    <row r="108" spans="1:13" ht="14.4" customHeight="1" x14ac:dyDescent="0.3">
      <c r="A108" s="13"/>
      <c r="B108" s="13"/>
      <c r="F108" s="26"/>
    </row>
    <row r="110" spans="1:13" ht="27" customHeight="1" x14ac:dyDescent="0.25">
      <c r="A110" s="225" t="s">
        <v>13</v>
      </c>
      <c r="B110" s="225"/>
      <c r="C110" s="225"/>
      <c r="D110" s="225"/>
      <c r="E110" s="225"/>
      <c r="F110" s="225"/>
      <c r="G110" s="225"/>
      <c r="H110" s="225"/>
      <c r="I110" s="225"/>
      <c r="J110" s="225"/>
      <c r="K110" s="225"/>
      <c r="L110" s="225"/>
      <c r="M110" s="225"/>
    </row>
  </sheetData>
  <sheetProtection algorithmName="SHA-512" hashValue="1lgYrenaQnhMCKpAh/zsYC1k+yqBBsTc7OO7RDSceOBQPSd8mLXIMGIzqUUme8Fi8rBPglAkucy0wUlRYzYEag==" saltValue="xt/KL2h5JKBG5jc4U7Szwg==" spinCount="100000" sheet="1" sort="0" autoFilter="0" pivotTables="0"/>
  <mergeCells count="5">
    <mergeCell ref="K7:L7"/>
    <mergeCell ref="H8:J9"/>
    <mergeCell ref="K8:L8"/>
    <mergeCell ref="K9:L9"/>
    <mergeCell ref="A110:M110"/>
  </mergeCells>
  <conditionalFormatting sqref="B89:J90">
    <cfRule type="containsErrors" dxfId="84" priority="5">
      <formula>ISERROR(B89)</formula>
    </cfRule>
  </conditionalFormatting>
  <conditionalFormatting sqref="B91:J91">
    <cfRule type="containsErrors" dxfId="83" priority="3">
      <formula>ISERROR(B91)</formula>
    </cfRule>
  </conditionalFormatting>
  <conditionalFormatting sqref="B95:J96">
    <cfRule type="containsErrors" dxfId="82" priority="4">
      <formula>ISERROR(B95)</formula>
    </cfRule>
  </conditionalFormatting>
  <conditionalFormatting sqref="B97:J97">
    <cfRule type="containsErrors" dxfId="81" priority="1">
      <formula>ISERROR(B97)</formula>
    </cfRule>
  </conditionalFormatting>
  <conditionalFormatting sqref="C106:C107">
    <cfRule type="cellIs" dxfId="80" priority="6" stopIfTrue="1" operator="equal">
      <formula>"FAIL"</formula>
    </cfRule>
  </conditionalFormatting>
  <conditionalFormatting sqref="K15:K75">
    <cfRule type="cellIs" dxfId="79" priority="8" operator="equal">
      <formula>0</formula>
    </cfRule>
  </conditionalFormatting>
  <conditionalFormatting sqref="M8:M9">
    <cfRule type="cellIs" dxfId="78" priority="24" stopIfTrue="1" operator="equal">
      <formula>"FAIL"</formula>
    </cfRule>
  </conditionalFormatting>
  <conditionalFormatting sqref="O34:O35 O56 O58 O60 O62 O64:O65">
    <cfRule type="expression" dxfId="77" priority="11" stopIfTrue="1">
      <formula>$B$38&gt;2</formula>
    </cfRule>
    <cfRule type="expression" dxfId="76" priority="12" stopIfTrue="1">
      <formula>$B$38&lt;3</formula>
    </cfRule>
  </conditionalFormatting>
  <conditionalFormatting sqref="O35:O36">
    <cfRule type="expression" dxfId="75" priority="17" stopIfTrue="1">
      <formula>$B$37&gt;4</formula>
    </cfRule>
    <cfRule type="expression" dxfId="74" priority="18" stopIfTrue="1">
      <formula>$B$37&lt;5</formula>
    </cfRule>
  </conditionalFormatting>
  <conditionalFormatting sqref="O37:O43">
    <cfRule type="expression" dxfId="73" priority="13" stopIfTrue="1">
      <formula>$B$38&gt;2</formula>
    </cfRule>
    <cfRule type="expression" dxfId="72" priority="14" stopIfTrue="1">
      <formula>$B$38&lt;3</formula>
    </cfRule>
  </conditionalFormatting>
  <conditionalFormatting sqref="O54">
    <cfRule type="expression" dxfId="71" priority="9" stopIfTrue="1">
      <formula>$B$38&gt;2</formula>
    </cfRule>
    <cfRule type="expression" dxfId="70" priority="10" stopIfTrue="1">
      <formula>$B$38&lt;3</formula>
    </cfRule>
  </conditionalFormatting>
  <conditionalFormatting sqref="O68">
    <cfRule type="expression" dxfId="69" priority="15" stopIfTrue="1">
      <formula>$B$37&gt;4</formula>
    </cfRule>
    <cfRule type="expression" dxfId="68" priority="16" stopIfTrue="1">
      <formula>$B$37&lt;5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FB0E41C-DBA4-4162-996B-96C71594605F}">
          <x14:formula1>
            <xm:f>Datos!$F$16:$F$21</xm:f>
          </x14:formula1>
          <xm:sqref>B8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0BBE8-1C69-44BA-85B2-0F0E086156FD}">
  <sheetPr codeName="Hoja7">
    <pageSetUpPr fitToPage="1"/>
  </sheetPr>
  <dimension ref="A1:O110"/>
  <sheetViews>
    <sheetView zoomScale="120" zoomScaleNormal="120" workbookViewId="0">
      <pane ySplit="14" topLeftCell="A15" activePane="bottomLeft" state="frozen"/>
      <selection activeCell="C15" sqref="C15"/>
      <selection pane="bottomLeft" activeCell="C15" sqref="C15"/>
    </sheetView>
  </sheetViews>
  <sheetFormatPr baseColWidth="10" defaultRowHeight="12.5" x14ac:dyDescent="0.25"/>
  <cols>
    <col min="1" max="1" width="31.1796875" customWidth="1"/>
    <col min="2" max="2" width="18.90625" customWidth="1"/>
    <col min="3" max="3" width="10.6328125" customWidth="1"/>
    <col min="4" max="4" width="11.08984375" hidden="1" customWidth="1"/>
    <col min="5" max="5" width="12.81640625" bestFit="1" customWidth="1"/>
    <col min="6" max="7" width="10.6328125" hidden="1" customWidth="1"/>
    <col min="8" max="8" width="10.54296875" bestFit="1" customWidth="1"/>
    <col min="9" max="9" width="10.6328125" customWidth="1"/>
    <col min="10" max="10" width="5.54296875" bestFit="1" customWidth="1"/>
    <col min="11" max="11" width="7" customWidth="1"/>
    <col min="12" max="12" width="6.453125" customWidth="1"/>
    <col min="13" max="13" width="6.54296875" customWidth="1"/>
    <col min="15" max="17" width="11.54296875" customWidth="1"/>
  </cols>
  <sheetData>
    <row r="1" spans="1:15" x14ac:dyDescent="0.25">
      <c r="I1" s="1"/>
      <c r="J1" s="2"/>
      <c r="K1" s="2"/>
      <c r="L1" s="2"/>
    </row>
    <row r="2" spans="1:15" x14ac:dyDescent="0.25">
      <c r="I2" s="1"/>
      <c r="J2" s="2"/>
      <c r="K2" s="2"/>
      <c r="L2" s="2"/>
    </row>
    <row r="3" spans="1:15" ht="14.5" x14ac:dyDescent="0.35">
      <c r="A3" s="3"/>
      <c r="B3" s="3"/>
      <c r="I3" s="1"/>
      <c r="J3" s="2"/>
      <c r="K3" s="2"/>
      <c r="L3" s="2"/>
    </row>
    <row r="4" spans="1:15" ht="14.5" x14ac:dyDescent="0.35">
      <c r="A4" s="3"/>
      <c r="B4" s="3"/>
      <c r="I4" s="1"/>
      <c r="J4" s="2"/>
      <c r="K4" s="2"/>
      <c r="L4" s="2"/>
    </row>
    <row r="5" spans="1:15" s="7" customFormat="1" ht="13.5" thickBot="1" x14ac:dyDescent="0.35">
      <c r="A5" s="4" t="str">
        <f>'System Calculation'!A7</f>
        <v>SYSTEM CALCULATOR DETNOV CAD-150 EXCEL TOOL</v>
      </c>
      <c r="B5" s="4"/>
      <c r="C5" s="4"/>
      <c r="D5" s="4"/>
      <c r="E5" s="4"/>
      <c r="F5" s="4"/>
      <c r="G5" s="4"/>
      <c r="H5" s="4"/>
      <c r="I5" s="6"/>
      <c r="J5" s="5"/>
      <c r="K5" s="5"/>
      <c r="L5" s="5"/>
      <c r="M5" s="12" t="str">
        <f>'System Calculation'!J7</f>
        <v>SC 116 en 2019 i</v>
      </c>
    </row>
    <row r="6" spans="1:15" s="7" customFormat="1" ht="13.5" thickBot="1" x14ac:dyDescent="0.35">
      <c r="I6" s="29"/>
      <c r="J6" s="30"/>
      <c r="K6" s="30"/>
      <c r="L6" s="30"/>
      <c r="M6" s="31"/>
    </row>
    <row r="7" spans="1:15" s="7" customFormat="1" ht="13.5" thickBot="1" x14ac:dyDescent="0.35">
      <c r="A7" s="15" t="s">
        <v>62</v>
      </c>
      <c r="B7" s="99"/>
      <c r="C7" s="100"/>
      <c r="I7" s="29"/>
      <c r="K7" s="226" t="s">
        <v>133</v>
      </c>
      <c r="L7" s="230"/>
      <c r="M7" s="118"/>
      <c r="N7" s="31"/>
    </row>
    <row r="8" spans="1:15" s="7" customFormat="1" ht="13.5" thickBot="1" x14ac:dyDescent="0.35">
      <c r="A8" s="96" t="s">
        <v>128</v>
      </c>
      <c r="B8" s="203">
        <v>1.5</v>
      </c>
      <c r="C8" s="222">
        <f>VLOOKUP($B$8,Datos!$F$16:$G$21,2,FALSE)</f>
        <v>16</v>
      </c>
      <c r="D8" s="207"/>
      <c r="E8" s="207"/>
      <c r="F8" s="204"/>
      <c r="G8" s="13"/>
      <c r="H8" s="231" t="str">
        <f>IF(B9&gt;3500,"Error: The Maximum Lenght in the Line is 3500 m","")</f>
        <v/>
      </c>
      <c r="I8" s="231"/>
      <c r="J8" s="232"/>
      <c r="K8" s="226" t="s">
        <v>134</v>
      </c>
      <c r="L8" s="227"/>
      <c r="M8" s="138" t="str">
        <f>IF($B$84&gt;0.4,"FAIL",IF($B$104&gt;=$B$84,"OK","FAIL"))</f>
        <v>OK</v>
      </c>
      <c r="O8" s="130" t="str">
        <f>IF($B$84&gt;0.4,"Error: The Loop Current is upper that Maximum Current allowed",IF($B$104&lt;$B$84,"Error: The Loop Current is upper that Maximum Current allowed",""))</f>
        <v/>
      </c>
    </row>
    <row r="9" spans="1:15" s="7" customFormat="1" ht="13.5" thickBot="1" x14ac:dyDescent="0.35">
      <c r="A9" s="22" t="s">
        <v>129</v>
      </c>
      <c r="B9" s="101">
        <v>1000</v>
      </c>
      <c r="C9" s="28" t="s">
        <v>131</v>
      </c>
      <c r="D9" s="13"/>
      <c r="E9" s="13"/>
      <c r="F9" s="13"/>
      <c r="G9" s="13"/>
      <c r="H9" s="231"/>
      <c r="I9" s="231"/>
      <c r="J9" s="232"/>
      <c r="K9" s="228" t="s">
        <v>135</v>
      </c>
      <c r="L9" s="229"/>
      <c r="M9" s="137" t="str">
        <f>IF($M$76&lt;=250,"OK","FAIL")</f>
        <v>OK</v>
      </c>
      <c r="O9" s="130" t="str">
        <f>IF($M$76&gt;250,"Error: The Loop cannot contain more than 250 addresses","")</f>
        <v/>
      </c>
    </row>
    <row r="10" spans="1:15" s="7" customFormat="1" ht="13" x14ac:dyDescent="0.3">
      <c r="A10" s="129" t="s">
        <v>149</v>
      </c>
      <c r="B10" s="129"/>
      <c r="I10" s="29"/>
      <c r="J10" s="30"/>
      <c r="K10" s="30"/>
      <c r="L10" s="30"/>
      <c r="M10" s="31"/>
    </row>
    <row r="11" spans="1:15" s="7" customFormat="1" ht="13" x14ac:dyDescent="0.3">
      <c r="A11" s="129"/>
      <c r="B11" s="129"/>
      <c r="I11" s="29"/>
      <c r="J11" s="30"/>
      <c r="K11" s="30"/>
      <c r="L11" s="30"/>
      <c r="M11" s="31"/>
    </row>
    <row r="12" spans="1:15" ht="13.5" thickBot="1" x14ac:dyDescent="0.35">
      <c r="C12" s="11" t="s">
        <v>10</v>
      </c>
      <c r="D12" s="11" t="s">
        <v>10</v>
      </c>
    </row>
    <row r="13" spans="1:15" ht="13.5" thickBot="1" x14ac:dyDescent="0.35">
      <c r="A13" s="8" t="s">
        <v>175</v>
      </c>
      <c r="B13" s="9"/>
      <c r="C13" s="9"/>
      <c r="D13" s="9"/>
      <c r="E13" s="9"/>
      <c r="F13" s="9"/>
      <c r="G13" s="9"/>
      <c r="H13" s="9"/>
      <c r="I13" s="127"/>
      <c r="J13" s="127"/>
      <c r="K13" s="127"/>
      <c r="L13" s="127"/>
      <c r="M13" s="128"/>
    </row>
    <row r="14" spans="1:15" s="7" customFormat="1" ht="13.5" thickBot="1" x14ac:dyDescent="0.35">
      <c r="A14" s="215" t="s">
        <v>0</v>
      </c>
      <c r="B14" s="216" t="s">
        <v>223</v>
      </c>
      <c r="C14" s="217" t="s">
        <v>1</v>
      </c>
      <c r="D14" s="217" t="s">
        <v>38</v>
      </c>
      <c r="E14" s="217" t="s">
        <v>38</v>
      </c>
      <c r="F14" s="217" t="s">
        <v>109</v>
      </c>
      <c r="G14" s="217" t="s">
        <v>39</v>
      </c>
      <c r="H14" s="217" t="s">
        <v>39</v>
      </c>
      <c r="I14" s="99" t="s">
        <v>132</v>
      </c>
      <c r="J14" s="99" t="s">
        <v>145</v>
      </c>
      <c r="K14" s="99" t="s">
        <v>146</v>
      </c>
      <c r="L14" s="99" t="s">
        <v>147</v>
      </c>
      <c r="M14" s="100" t="s">
        <v>148</v>
      </c>
    </row>
    <row r="15" spans="1:15" ht="25" x14ac:dyDescent="0.25">
      <c r="A15" s="115" t="str">
        <f>'SC_Loop 1'!A15</f>
        <v>DOD-220A</v>
      </c>
      <c r="B15" s="208" t="str">
        <f>'SC_Loop 1'!B15</f>
        <v>Addressable smoke detector</v>
      </c>
      <c r="C15" s="97"/>
      <c r="D15" s="214">
        <f>'SC_Loop 1'!D15</f>
        <v>1.272E-4</v>
      </c>
      <c r="E15" s="116">
        <f>C15*D15</f>
        <v>0</v>
      </c>
      <c r="F15" s="200">
        <f>IF(C15&gt;10,10,C15)</f>
        <v>0</v>
      </c>
      <c r="G15" s="214">
        <f>'SC_Loop 1'!G15</f>
        <v>3.6099999999999999E-3</v>
      </c>
      <c r="H15" s="116">
        <f>F15*G15</f>
        <v>0</v>
      </c>
      <c r="I15" s="41"/>
      <c r="J15" s="41" t="str">
        <f t="shared" ref="J15:J27" si="0">IF(C15&lt;&gt;0,C15," ")</f>
        <v xml:space="preserve"> </v>
      </c>
      <c r="K15" s="41"/>
      <c r="L15" s="41"/>
      <c r="M15" s="117" t="str">
        <f>IF(J15&lt;&gt;0,J15," ")</f>
        <v xml:space="preserve"> </v>
      </c>
    </row>
    <row r="16" spans="1:15" ht="25" x14ac:dyDescent="0.25">
      <c r="A16" s="115" t="str">
        <f>'SC_Loop 1'!A16</f>
        <v>DOD-220A-I</v>
      </c>
      <c r="B16" s="208" t="str">
        <f>'SC_Loop 1'!B16</f>
        <v>Addressable smoke detector with isolator</v>
      </c>
      <c r="C16" s="97"/>
      <c r="D16" s="20">
        <f>'SC_Loop 1'!D16</f>
        <v>1.9580000000000002E-4</v>
      </c>
      <c r="E16" s="57">
        <f>C16*D16</f>
        <v>0</v>
      </c>
      <c r="F16" s="200">
        <f t="shared" ref="F16:F22" si="1">IF(C16&gt;10,10,C16)</f>
        <v>0</v>
      </c>
      <c r="G16" s="20">
        <f>'SC_Loop 1'!G16</f>
        <v>3.7400000000000003E-3</v>
      </c>
      <c r="H16" s="57">
        <f>F16*G16</f>
        <v>0</v>
      </c>
      <c r="I16" s="49"/>
      <c r="J16" s="49" t="str">
        <f t="shared" si="0"/>
        <v xml:space="preserve"> </v>
      </c>
      <c r="K16" s="49"/>
      <c r="L16" s="49"/>
      <c r="M16" s="106" t="str">
        <f>IF(J16&lt;&gt;0,J16," ")</f>
        <v xml:space="preserve"> </v>
      </c>
    </row>
    <row r="17" spans="1:13" ht="25" x14ac:dyDescent="0.25">
      <c r="A17" s="115" t="str">
        <f>'SC_Loop 1'!A17</f>
        <v>DOTD-230A</v>
      </c>
      <c r="B17" s="208" t="str">
        <f>'SC_Loop 1'!B17</f>
        <v>Addressable smoke and heat detector</v>
      </c>
      <c r="C17" s="97"/>
      <c r="D17" s="20">
        <f>'SC_Loop 1'!D17</f>
        <v>1.416E-4</v>
      </c>
      <c r="E17" s="57">
        <f t="shared" ref="E17:E75" si="2">C17*D17</f>
        <v>0</v>
      </c>
      <c r="F17" s="200">
        <f t="shared" si="1"/>
        <v>0</v>
      </c>
      <c r="G17" s="20">
        <f>'SC_Loop 1'!G17</f>
        <v>3.6000000000000003E-3</v>
      </c>
      <c r="H17" s="57">
        <f t="shared" ref="H17:H75" si="3">F17*G17</f>
        <v>0</v>
      </c>
      <c r="I17" s="49"/>
      <c r="J17" s="49" t="str">
        <f t="shared" si="0"/>
        <v xml:space="preserve"> </v>
      </c>
      <c r="K17" s="49"/>
      <c r="L17" s="49"/>
      <c r="M17" s="106" t="str">
        <f t="shared" ref="M17:M70" si="4">IF(J17&lt;&gt;0,J17," ")</f>
        <v xml:space="preserve"> </v>
      </c>
    </row>
    <row r="18" spans="1:13" ht="37.5" x14ac:dyDescent="0.25">
      <c r="A18" s="115" t="str">
        <f>'SC_Loop 1'!A18</f>
        <v>DOTD-230A-I</v>
      </c>
      <c r="B18" s="208" t="str">
        <f>'SC_Loop 1'!B18</f>
        <v>Addressable smoke and heat detector with isolator</v>
      </c>
      <c r="C18" s="97"/>
      <c r="D18" s="20">
        <f>'SC_Loop 1'!D18</f>
        <v>2.1239999999999999E-4</v>
      </c>
      <c r="E18" s="57">
        <f t="shared" si="2"/>
        <v>0</v>
      </c>
      <c r="F18" s="200">
        <f t="shared" si="1"/>
        <v>0</v>
      </c>
      <c r="G18" s="20">
        <f>'SC_Loop 1'!G18</f>
        <v>3.7400000000000003E-3</v>
      </c>
      <c r="H18" s="57">
        <f t="shared" si="3"/>
        <v>0</v>
      </c>
      <c r="I18" s="49"/>
      <c r="J18" s="49" t="str">
        <f t="shared" si="0"/>
        <v xml:space="preserve"> </v>
      </c>
      <c r="K18" s="49"/>
      <c r="L18" s="49"/>
      <c r="M18" s="106" t="str">
        <f t="shared" si="4"/>
        <v xml:space="preserve"> </v>
      </c>
    </row>
    <row r="19" spans="1:13" ht="25" x14ac:dyDescent="0.25">
      <c r="A19" s="115" t="str">
        <f>'SC_Loop 1'!A19</f>
        <v>DTD-210A</v>
      </c>
      <c r="B19" s="208" t="str">
        <f>'SC_Loop 1'!B19</f>
        <v>Addressable heat detector</v>
      </c>
      <c r="C19" s="97"/>
      <c r="D19" s="20">
        <f>'SC_Loop 1'!D19</f>
        <v>1.2219999999999999E-4</v>
      </c>
      <c r="E19" s="57">
        <f t="shared" si="2"/>
        <v>0</v>
      </c>
      <c r="F19" s="200">
        <f t="shared" si="1"/>
        <v>0</v>
      </c>
      <c r="G19" s="20">
        <f>'SC_Loop 1'!G19</f>
        <v>3.64E-3</v>
      </c>
      <c r="H19" s="57">
        <f t="shared" si="3"/>
        <v>0</v>
      </c>
      <c r="I19" s="49"/>
      <c r="J19" s="49" t="str">
        <f t="shared" si="0"/>
        <v xml:space="preserve"> </v>
      </c>
      <c r="K19" s="49"/>
      <c r="L19" s="49"/>
      <c r="M19" s="106" t="str">
        <f t="shared" si="4"/>
        <v xml:space="preserve"> </v>
      </c>
    </row>
    <row r="20" spans="1:13" ht="25" x14ac:dyDescent="0.25">
      <c r="A20" s="115" t="str">
        <f>'SC_Loop 1'!A20</f>
        <v>DTD-210A-I</v>
      </c>
      <c r="B20" s="208" t="str">
        <f>'SC_Loop 1'!B20</f>
        <v>Addressable heat detector with isolator</v>
      </c>
      <c r="C20" s="97"/>
      <c r="D20" s="20">
        <f>'SC_Loop 1'!D20</f>
        <v>1.9239999999999999E-4</v>
      </c>
      <c r="E20" s="57">
        <f t="shared" si="2"/>
        <v>0</v>
      </c>
      <c r="F20" s="200">
        <f t="shared" si="1"/>
        <v>0</v>
      </c>
      <c r="G20" s="20">
        <f>'SC_Loop 1'!G20</f>
        <v>3.7599999999999999E-3</v>
      </c>
      <c r="H20" s="57">
        <f t="shared" si="3"/>
        <v>0</v>
      </c>
      <c r="I20" s="49"/>
      <c r="J20" s="49" t="str">
        <f t="shared" si="0"/>
        <v xml:space="preserve"> </v>
      </c>
      <c r="K20" s="49"/>
      <c r="L20" s="49"/>
      <c r="M20" s="106" t="str">
        <f t="shared" si="4"/>
        <v xml:space="preserve"> </v>
      </c>
    </row>
    <row r="21" spans="1:13" ht="25" x14ac:dyDescent="0.25">
      <c r="A21" s="115" t="str">
        <f>'SC_Loop 1'!A21</f>
        <v>DTD-215A</v>
      </c>
      <c r="B21" s="208" t="str">
        <f>'SC_Loop 1'!B21</f>
        <v>Addressable high temperature detector</v>
      </c>
      <c r="C21" s="97"/>
      <c r="D21" s="20">
        <f>'SC_Loop 1'!D21</f>
        <v>1.3369999999999997E-4</v>
      </c>
      <c r="E21" s="57">
        <f t="shared" si="2"/>
        <v>0</v>
      </c>
      <c r="F21" s="200">
        <f t="shared" si="1"/>
        <v>0</v>
      </c>
      <c r="G21" s="20">
        <f>'SC_Loop 1'!G21</f>
        <v>3.7799999999999999E-3</v>
      </c>
      <c r="H21" s="57">
        <f t="shared" si="3"/>
        <v>0</v>
      </c>
      <c r="I21" s="49"/>
      <c r="J21" s="49" t="str">
        <f t="shared" si="0"/>
        <v xml:space="preserve"> </v>
      </c>
      <c r="K21" s="49"/>
      <c r="L21" s="49"/>
      <c r="M21" s="106" t="str">
        <f t="shared" si="4"/>
        <v xml:space="preserve"> </v>
      </c>
    </row>
    <row r="22" spans="1:13" ht="37.5" x14ac:dyDescent="0.25">
      <c r="A22" s="115" t="str">
        <f>'SC_Loop 1'!A22</f>
        <v>DTD-215A-I</v>
      </c>
      <c r="B22" s="208" t="str">
        <f>'SC_Loop 1'!B22</f>
        <v>Addressable high temperature detector with isolator</v>
      </c>
      <c r="C22" s="97"/>
      <c r="D22" s="20">
        <f>'SC_Loop 1'!D22</f>
        <v>2.0349999999999999E-4</v>
      </c>
      <c r="E22" s="57">
        <f t="shared" si="2"/>
        <v>0</v>
      </c>
      <c r="F22" s="200">
        <f t="shared" si="1"/>
        <v>0</v>
      </c>
      <c r="G22" s="20">
        <f>'SC_Loop 1'!G22</f>
        <v>3.7699999999999999E-3</v>
      </c>
      <c r="H22" s="57">
        <f t="shared" si="3"/>
        <v>0</v>
      </c>
      <c r="I22" s="49"/>
      <c r="J22" s="49" t="str">
        <f t="shared" si="0"/>
        <v xml:space="preserve"> </v>
      </c>
      <c r="K22" s="49"/>
      <c r="L22" s="49"/>
      <c r="M22" s="106" t="str">
        <f t="shared" si="4"/>
        <v xml:space="preserve"> </v>
      </c>
    </row>
    <row r="23" spans="1:13" ht="25" x14ac:dyDescent="0.25">
      <c r="A23" s="115" t="str">
        <f>'SC_Loop 1'!A23</f>
        <v>DGD-600</v>
      </c>
      <c r="B23" s="208" t="str">
        <f>'SC_Loop 1'!B23</f>
        <v>Stand-alone natural gas detector (24V)</v>
      </c>
      <c r="C23" s="97"/>
      <c r="D23" s="20">
        <f>'SC_Loop 1'!D23</f>
        <v>2.1800000000000001E-3</v>
      </c>
      <c r="E23" s="57">
        <f t="shared" si="2"/>
        <v>0</v>
      </c>
      <c r="F23" s="200">
        <f>IF(C23&gt;10,10,C23)</f>
        <v>0</v>
      </c>
      <c r="G23" s="20">
        <f>'SC_Loop 1'!G23</f>
        <v>2.2200000000000002E-3</v>
      </c>
      <c r="H23" s="57">
        <f t="shared" si="3"/>
        <v>0</v>
      </c>
      <c r="I23" s="49"/>
      <c r="J23" s="49" t="str">
        <f t="shared" si="0"/>
        <v xml:space="preserve"> </v>
      </c>
      <c r="K23" s="49"/>
      <c r="L23" s="49"/>
      <c r="M23" s="106" t="str">
        <f t="shared" si="4"/>
        <v xml:space="preserve"> </v>
      </c>
    </row>
    <row r="24" spans="1:13" ht="25" x14ac:dyDescent="0.25">
      <c r="A24" s="115" t="str">
        <f>'SC_Loop 1'!A24</f>
        <v>DGD-600-AC</v>
      </c>
      <c r="B24" s="208" t="str">
        <f>'SC_Loop 1'!B24</f>
        <v>Stand-alone natural gas detector (230V)</v>
      </c>
      <c r="C24" s="97"/>
      <c r="D24" s="20">
        <f>'SC_Loop 1'!D24</f>
        <v>2.5999999999999999E-3</v>
      </c>
      <c r="E24" s="57">
        <f t="shared" si="2"/>
        <v>0</v>
      </c>
      <c r="F24" s="200">
        <f t="shared" ref="F24:F26" si="5">IF(C24&gt;10,10,C24)</f>
        <v>0</v>
      </c>
      <c r="G24" s="20">
        <f>'SC_Loop 1'!G24</f>
        <v>3.16E-3</v>
      </c>
      <c r="H24" s="57">
        <f t="shared" si="3"/>
        <v>0</v>
      </c>
      <c r="I24" s="49"/>
      <c r="J24" s="49" t="str">
        <f t="shared" si="0"/>
        <v xml:space="preserve"> </v>
      </c>
      <c r="K24" s="49"/>
      <c r="L24" s="49"/>
      <c r="M24" s="106" t="str">
        <f t="shared" si="4"/>
        <v xml:space="preserve"> </v>
      </c>
    </row>
    <row r="25" spans="1:13" ht="25" x14ac:dyDescent="0.25">
      <c r="A25" s="115" t="str">
        <f>'SC_Loop 1'!A25</f>
        <v>DGD-620</v>
      </c>
      <c r="B25" s="208" t="str">
        <f>'SC_Loop 1'!B25</f>
        <v>Stand-alone LPG detector (24V)</v>
      </c>
      <c r="C25" s="97"/>
      <c r="D25" s="20">
        <f>'SC_Loop 1'!D25</f>
        <v>2.1800000000000001E-3</v>
      </c>
      <c r="E25" s="57">
        <f t="shared" si="2"/>
        <v>0</v>
      </c>
      <c r="F25" s="200">
        <f t="shared" si="5"/>
        <v>0</v>
      </c>
      <c r="G25" s="20">
        <f>'SC_Loop 1'!G25</f>
        <v>2.2200000000000002E-3</v>
      </c>
      <c r="H25" s="57">
        <f t="shared" si="3"/>
        <v>0</v>
      </c>
      <c r="I25" s="49"/>
      <c r="J25" s="49" t="str">
        <f t="shared" si="0"/>
        <v xml:space="preserve"> </v>
      </c>
      <c r="K25" s="49"/>
      <c r="L25" s="49"/>
      <c r="M25" s="106" t="str">
        <f t="shared" si="4"/>
        <v xml:space="preserve"> </v>
      </c>
    </row>
    <row r="26" spans="1:13" ht="25" x14ac:dyDescent="0.25">
      <c r="A26" s="115" t="str">
        <f>'SC_Loop 1'!A26</f>
        <v>DGD-620-AC</v>
      </c>
      <c r="B26" s="208" t="str">
        <f>'SC_Loop 1'!B26</f>
        <v>Stand-alone LPG detector (230V)</v>
      </c>
      <c r="C26" s="97"/>
      <c r="D26" s="20">
        <f>'SC_Loop 1'!D26</f>
        <v>2.5999999999999999E-3</v>
      </c>
      <c r="E26" s="57">
        <f t="shared" si="2"/>
        <v>0</v>
      </c>
      <c r="F26" s="200">
        <f t="shared" si="5"/>
        <v>0</v>
      </c>
      <c r="G26" s="20">
        <f>'SC_Loop 1'!G26</f>
        <v>3.16E-3</v>
      </c>
      <c r="H26" s="57">
        <f t="shared" si="3"/>
        <v>0</v>
      </c>
      <c r="I26" s="49"/>
      <c r="J26" s="49" t="str">
        <f t="shared" si="0"/>
        <v xml:space="preserve"> </v>
      </c>
      <c r="K26" s="49"/>
      <c r="L26" s="49"/>
      <c r="M26" s="106" t="str">
        <f t="shared" si="4"/>
        <v xml:space="preserve"> </v>
      </c>
    </row>
    <row r="27" spans="1:13" ht="25" x14ac:dyDescent="0.25">
      <c r="A27" s="115" t="str">
        <f>'SC_Loop 1'!A27</f>
        <v>DBD-70A</v>
      </c>
      <c r="B27" s="208" t="str">
        <f>'SC_Loop 1'!B27</f>
        <v>Addressable lineal smoke detector</v>
      </c>
      <c r="C27" s="97"/>
      <c r="D27" s="20">
        <f>'SC_Loop 1'!D27</f>
        <v>3.7999999999999999E-2</v>
      </c>
      <c r="E27" s="57">
        <f t="shared" si="2"/>
        <v>0</v>
      </c>
      <c r="F27" s="200">
        <f>C27</f>
        <v>0</v>
      </c>
      <c r="G27" s="20">
        <f>'SC_Loop 1'!G27</f>
        <v>3.7999999999999999E-2</v>
      </c>
      <c r="H27" s="57">
        <f t="shared" si="3"/>
        <v>0</v>
      </c>
      <c r="I27" s="49"/>
      <c r="J27" s="49" t="str">
        <f t="shared" si="0"/>
        <v xml:space="preserve"> </v>
      </c>
      <c r="K27" s="49"/>
      <c r="L27" s="49"/>
      <c r="M27" s="106" t="str">
        <f t="shared" si="4"/>
        <v xml:space="preserve"> </v>
      </c>
    </row>
    <row r="28" spans="1:13" ht="25" x14ac:dyDescent="0.25">
      <c r="A28" s="115" t="str">
        <f>'SC_Loop 1'!A28</f>
        <v>MAD-401 &amp; MAD-401-I</v>
      </c>
      <c r="B28" s="208" t="str">
        <f>'SC_Loop 1'!B28</f>
        <v>1 output addressable module</v>
      </c>
      <c r="C28" s="97"/>
      <c r="D28" s="20">
        <f>'SC_Loop 1'!D28</f>
        <v>2.1680000000000001E-4</v>
      </c>
      <c r="E28" s="57">
        <f t="shared" si="2"/>
        <v>0</v>
      </c>
      <c r="F28" s="199">
        <f>C28*'System Calculation'!$I$14</f>
        <v>0</v>
      </c>
      <c r="G28" s="20">
        <f>'SC_Loop 1'!G28</f>
        <v>3.0600000000000002E-3</v>
      </c>
      <c r="H28" s="57">
        <f t="shared" si="3"/>
        <v>0</v>
      </c>
      <c r="I28" s="49"/>
      <c r="J28" s="49"/>
      <c r="K28" s="49" t="str">
        <f>IF(C28&lt;&gt;0,C28," ")</f>
        <v xml:space="preserve"> </v>
      </c>
      <c r="L28" s="49"/>
      <c r="M28" s="106" t="str">
        <f>IF(K28&lt;&gt;0,K28," ")</f>
        <v xml:space="preserve"> </v>
      </c>
    </row>
    <row r="29" spans="1:13" ht="25" x14ac:dyDescent="0.25">
      <c r="A29" s="115" t="str">
        <f>'SC_Loop 1'!A29</f>
        <v>MAD-402 &amp; MAD-402-I</v>
      </c>
      <c r="B29" s="208" t="str">
        <f>'SC_Loop 1'!B29</f>
        <v>2 outputs addressable module</v>
      </c>
      <c r="C29" s="97"/>
      <c r="D29" s="20">
        <f>'SC_Loop 1'!D29</f>
        <v>2.174E-4</v>
      </c>
      <c r="E29" s="57">
        <f t="shared" si="2"/>
        <v>0</v>
      </c>
      <c r="F29" s="199">
        <f>C29*'System Calculation'!$I$14</f>
        <v>0</v>
      </c>
      <c r="G29" s="20">
        <f>'SC_Loop 1'!G29</f>
        <v>5.9500000000000004E-3</v>
      </c>
      <c r="H29" s="57">
        <f t="shared" si="3"/>
        <v>0</v>
      </c>
      <c r="I29" s="49"/>
      <c r="J29" s="49"/>
      <c r="K29" s="49">
        <f>IF(C29&lt;&gt;0,C29,0)</f>
        <v>0</v>
      </c>
      <c r="L29" s="49"/>
      <c r="M29" s="106" t="str">
        <f>IF(K29&lt;&gt;0,K29*2," ")</f>
        <v xml:space="preserve"> </v>
      </c>
    </row>
    <row r="30" spans="1:13" ht="25" x14ac:dyDescent="0.25">
      <c r="A30" s="115" t="str">
        <f>'SC_Loop 1'!A30</f>
        <v>MAD-405-I</v>
      </c>
      <c r="B30" s="208" t="str">
        <f>'SC_Loop 1'!B30</f>
        <v>5 outputs addressable module</v>
      </c>
      <c r="C30" s="97"/>
      <c r="D30" s="20">
        <f>'SC_Loop 1'!D30</f>
        <v>2.786E-4</v>
      </c>
      <c r="E30" s="57">
        <f t="shared" si="2"/>
        <v>0</v>
      </c>
      <c r="F30" s="199">
        <f>C30*'System Calculation'!$I$14</f>
        <v>0</v>
      </c>
      <c r="G30" s="20">
        <f>'SC_Loop 1'!G30</f>
        <v>3.15E-3</v>
      </c>
      <c r="H30" s="57">
        <f t="shared" si="3"/>
        <v>0</v>
      </c>
      <c r="I30" s="49"/>
      <c r="J30" s="49"/>
      <c r="K30" s="49">
        <f>IF(C30&lt;&gt;0,C30,0)</f>
        <v>0</v>
      </c>
      <c r="L30" s="49"/>
      <c r="M30" s="106" t="str">
        <f>IF(K30&lt;&gt;0,K30*5," ")</f>
        <v xml:space="preserve"> </v>
      </c>
    </row>
    <row r="31" spans="1:13" ht="25" x14ac:dyDescent="0.25">
      <c r="A31" s="115" t="str">
        <f>'SC_Loop 1'!A31</f>
        <v>MAD-409-I</v>
      </c>
      <c r="B31" s="208" t="str">
        <f>'SC_Loop 1'!B31</f>
        <v>10 outputs addressable module</v>
      </c>
      <c r="C31" s="97"/>
      <c r="D31" s="20">
        <f>'SC_Loop 1'!D31</f>
        <v>3.6769999999999999E-4</v>
      </c>
      <c r="E31" s="57">
        <f t="shared" si="2"/>
        <v>0</v>
      </c>
      <c r="F31" s="199">
        <f>C31*'System Calculation'!$I$14</f>
        <v>0</v>
      </c>
      <c r="G31" s="20">
        <f>'SC_Loop 1'!G31</f>
        <v>3.3E-3</v>
      </c>
      <c r="H31" s="57">
        <f t="shared" si="3"/>
        <v>0</v>
      </c>
      <c r="I31" s="49"/>
      <c r="J31" s="49"/>
      <c r="K31" s="49"/>
      <c r="L31" s="49"/>
      <c r="M31" s="106" t="str">
        <f>IF(K31&lt;&gt;0,K31*10," ")</f>
        <v xml:space="preserve"> </v>
      </c>
    </row>
    <row r="32" spans="1:13" ht="25" x14ac:dyDescent="0.25">
      <c r="A32" s="115" t="str">
        <f>'SC_Loop 1'!A32</f>
        <v>MAD-411 &amp; MAD-411-I</v>
      </c>
      <c r="B32" s="208" t="str">
        <f>'SC_Loop 1'!B32</f>
        <v>1 input addressable module</v>
      </c>
      <c r="C32" s="97"/>
      <c r="D32" s="20">
        <f>'SC_Loop 1'!D32</f>
        <v>1.916E-4</v>
      </c>
      <c r="E32" s="57">
        <f t="shared" si="2"/>
        <v>0</v>
      </c>
      <c r="F32" s="199">
        <f>C32*'System Calculation'!$I$14</f>
        <v>0</v>
      </c>
      <c r="G32" s="20">
        <f>'SC_Loop 1'!G32</f>
        <v>3.0600000000000002E-3</v>
      </c>
      <c r="H32" s="57">
        <f t="shared" si="3"/>
        <v>0</v>
      </c>
      <c r="I32" s="49"/>
      <c r="J32" s="49"/>
      <c r="K32" s="49" t="str">
        <f>IF(C32&lt;&gt;0,C32," ")</f>
        <v xml:space="preserve"> </v>
      </c>
      <c r="L32" s="49"/>
      <c r="M32" s="106" t="str">
        <f t="shared" ref="M32" si="6">IF(K32&lt;&gt;0,K32," ")</f>
        <v xml:space="preserve"> </v>
      </c>
    </row>
    <row r="33" spans="1:15" ht="25" x14ac:dyDescent="0.25">
      <c r="A33" s="115" t="str">
        <f>'SC_Loop 1'!A33</f>
        <v>MAD-412 &amp; MAD-412-I</v>
      </c>
      <c r="B33" s="208" t="str">
        <f>'SC_Loop 1'!B33</f>
        <v>2 inputs addressable module</v>
      </c>
      <c r="C33" s="97"/>
      <c r="D33" s="20">
        <f>'SC_Loop 1'!D33</f>
        <v>1.9099999999999998E-4</v>
      </c>
      <c r="E33" s="57">
        <f t="shared" si="2"/>
        <v>0</v>
      </c>
      <c r="F33" s="199">
        <f>C33*'System Calculation'!$I$14</f>
        <v>0</v>
      </c>
      <c r="G33" s="20">
        <f>'SC_Loop 1'!G33</f>
        <v>5.8399999999999997E-3</v>
      </c>
      <c r="H33" s="57">
        <f t="shared" si="3"/>
        <v>0</v>
      </c>
      <c r="I33" s="49"/>
      <c r="J33" s="49"/>
      <c r="K33" s="49">
        <f t="shared" ref="K33:K39" si="7">IF(C33&lt;&gt;0,C33,0)</f>
        <v>0</v>
      </c>
      <c r="L33" s="49"/>
      <c r="M33" s="106" t="str">
        <f>IF(K33&lt;&gt;0,K33*2," ")</f>
        <v xml:space="preserve"> </v>
      </c>
    </row>
    <row r="34" spans="1:15" ht="25" x14ac:dyDescent="0.25">
      <c r="A34" s="115" t="str">
        <f>'SC_Loop 1'!A34</f>
        <v>MAD-415-I</v>
      </c>
      <c r="B34" s="208" t="str">
        <f>'SC_Loop 1'!B34</f>
        <v>5 inputs addressable module</v>
      </c>
      <c r="C34" s="97"/>
      <c r="D34" s="20">
        <f>'SC_Loop 1'!D34</f>
        <v>1.8880000000000001E-4</v>
      </c>
      <c r="E34" s="57">
        <f t="shared" si="2"/>
        <v>0</v>
      </c>
      <c r="F34" s="199">
        <f>C34*'System Calculation'!$I$14</f>
        <v>0</v>
      </c>
      <c r="G34" s="20">
        <f>'SC_Loop 1'!G34</f>
        <v>3.9500000000000004E-3</v>
      </c>
      <c r="H34" s="57">
        <f t="shared" si="3"/>
        <v>0</v>
      </c>
      <c r="I34" s="49"/>
      <c r="J34" s="49"/>
      <c r="K34" s="49">
        <f t="shared" si="7"/>
        <v>0</v>
      </c>
      <c r="L34" s="49"/>
      <c r="M34" s="106" t="str">
        <f>IF(KJ34&lt;&gt;0,K34*5," ")</f>
        <v xml:space="preserve"> </v>
      </c>
      <c r="O34" s="13" t="str">
        <f t="shared" ref="O34" si="8">IF(AND(C34&gt;0),"Info: External 24V needed. Control Panel could provide from 24Vaux, if 500mA maximum current isn't exceeded."," ")</f>
        <v xml:space="preserve"> </v>
      </c>
    </row>
    <row r="35" spans="1:15" ht="25" x14ac:dyDescent="0.25">
      <c r="A35" s="115" t="str">
        <f>'SC_Loop 1'!A35</f>
        <v>MAD-419-I</v>
      </c>
      <c r="B35" s="208" t="str">
        <f>'SC_Loop 1'!B35</f>
        <v>10 inputs addressable module</v>
      </c>
      <c r="C35" s="97"/>
      <c r="D35" s="20">
        <f>'SC_Loop 1'!D35</f>
        <v>1.8919999999999999E-4</v>
      </c>
      <c r="E35" s="57">
        <f t="shared" si="2"/>
        <v>0</v>
      </c>
      <c r="F35" s="199">
        <f>C35*'System Calculation'!$I$14</f>
        <v>0</v>
      </c>
      <c r="G35" s="20">
        <f>'SC_Loop 1'!G35</f>
        <v>4.8399999999999997E-3</v>
      </c>
      <c r="H35" s="57">
        <f t="shared" si="3"/>
        <v>0</v>
      </c>
      <c r="I35" s="49"/>
      <c r="J35" s="49"/>
      <c r="K35" s="49">
        <f t="shared" si="7"/>
        <v>0</v>
      </c>
      <c r="L35" s="49"/>
      <c r="M35" s="106" t="str">
        <f>IF(K35&lt;&gt;0,K35*10," ")</f>
        <v xml:space="preserve"> </v>
      </c>
      <c r="O35" s="13" t="str">
        <f>IF(AND(C33&gt;0),"Info: External 24V needed. Control Panel could provide from 24Vaux, if 500mA maximum current isn't exceeded."," ")</f>
        <v xml:space="preserve"> </v>
      </c>
    </row>
    <row r="36" spans="1:15" ht="25" x14ac:dyDescent="0.25">
      <c r="A36" s="115" t="str">
        <f>'SC_Loop 1'!A36</f>
        <v>MAD-421 &amp; MAD-421-I</v>
      </c>
      <c r="B36" s="208" t="str">
        <f>'SC_Loop 1'!B36</f>
        <v>1 output/1 input addressable module</v>
      </c>
      <c r="C36" s="97"/>
      <c r="D36" s="20">
        <f>'SC_Loop 1'!D36</f>
        <v>2.1009999999999998E-4</v>
      </c>
      <c r="E36" s="57">
        <f t="shared" si="2"/>
        <v>0</v>
      </c>
      <c r="F36" s="199">
        <f>C36*'System Calculation'!$I$14</f>
        <v>0</v>
      </c>
      <c r="G36" s="20">
        <f>'SC_Loop 1'!G36</f>
        <v>5.9199999999999999E-3</v>
      </c>
      <c r="H36" s="57">
        <f t="shared" si="3"/>
        <v>0</v>
      </c>
      <c r="I36" s="49"/>
      <c r="J36" s="49"/>
      <c r="K36" s="49">
        <f t="shared" si="7"/>
        <v>0</v>
      </c>
      <c r="L36" s="49"/>
      <c r="M36" s="106" t="str">
        <f>IF(K36&lt;&gt;0,K36*2," ")</f>
        <v xml:space="preserve"> </v>
      </c>
      <c r="O36" s="13"/>
    </row>
    <row r="37" spans="1:15" ht="25" x14ac:dyDescent="0.25">
      <c r="A37" s="115" t="str">
        <f>'SC_Loop 1'!A37</f>
        <v>MAD-422 &amp; MAD-422-I</v>
      </c>
      <c r="B37" s="208" t="str">
        <f>'SC_Loop 1'!B37</f>
        <v>2 outputs/2 inputs addressable module</v>
      </c>
      <c r="C37" s="97"/>
      <c r="D37" s="20">
        <f>'SC_Loop 1'!D37</f>
        <v>2.34E-4</v>
      </c>
      <c r="E37" s="57">
        <f t="shared" si="2"/>
        <v>0</v>
      </c>
      <c r="F37" s="199">
        <f>C37*'System Calculation'!$I$14</f>
        <v>0</v>
      </c>
      <c r="G37" s="20">
        <f>'SC_Loop 1'!G37</f>
        <v>5.9100000000000003E-3</v>
      </c>
      <c r="H37" s="57">
        <f t="shared" si="3"/>
        <v>0</v>
      </c>
      <c r="I37" s="49"/>
      <c r="J37" s="49"/>
      <c r="K37" s="49">
        <f t="shared" si="7"/>
        <v>0</v>
      </c>
      <c r="L37" s="49"/>
      <c r="M37" s="106" t="str">
        <f>IF(K37&lt;&gt;0,K37*4," ")</f>
        <v xml:space="preserve"> </v>
      </c>
      <c r="O37" s="13"/>
    </row>
    <row r="38" spans="1:15" ht="25" x14ac:dyDescent="0.25">
      <c r="A38" s="115" t="str">
        <f>'SC_Loop 1'!A38</f>
        <v>MAD-425-I</v>
      </c>
      <c r="B38" s="208" t="str">
        <f>'SC_Loop 1'!B38</f>
        <v>5 outputs/5 inputs addressable module</v>
      </c>
      <c r="C38" s="97"/>
      <c r="D38" s="20">
        <f>'SC_Loop 1'!D38</f>
        <v>2.8399999999999996E-4</v>
      </c>
      <c r="E38" s="57">
        <f t="shared" si="2"/>
        <v>0</v>
      </c>
      <c r="F38" s="199">
        <f>C38*'System Calculation'!$I$14</f>
        <v>0</v>
      </c>
      <c r="G38" s="20">
        <f>'SC_Loop 1'!G38</f>
        <v>4.0800000000000003E-3</v>
      </c>
      <c r="H38" s="57">
        <f t="shared" si="3"/>
        <v>0</v>
      </c>
      <c r="I38" s="49"/>
      <c r="J38" s="49"/>
      <c r="K38" s="49">
        <f t="shared" si="7"/>
        <v>0</v>
      </c>
      <c r="L38" s="49"/>
      <c r="M38" s="106" t="str">
        <f>IF(K38&lt;&gt;0,K38*10," ")</f>
        <v xml:space="preserve"> </v>
      </c>
      <c r="O38" s="13" t="str">
        <f t="shared" ref="O38:O43" si="9">IF(AND(C38&gt;0),"Info: External 24V needed. Control Panel could provide from 24Vaux, if 500mA maximum current isn't exceeded."," ")</f>
        <v xml:space="preserve"> </v>
      </c>
    </row>
    <row r="39" spans="1:15" ht="25" x14ac:dyDescent="0.25">
      <c r="A39" s="115" t="str">
        <f>'SC_Loop 1'!A39</f>
        <v>MAD-429-I</v>
      </c>
      <c r="B39" s="208" t="str">
        <f>'SC_Loop 1'!B39</f>
        <v>10 outputs/10 inputs addressable module</v>
      </c>
      <c r="C39" s="97"/>
      <c r="D39" s="20">
        <f>'SC_Loop 1'!D39</f>
        <v>3.7659999999999999E-4</v>
      </c>
      <c r="E39" s="57">
        <f t="shared" si="2"/>
        <v>0</v>
      </c>
      <c r="F39" s="199">
        <f>C39*'System Calculation'!$I$14</f>
        <v>0</v>
      </c>
      <c r="G39" s="20">
        <f>'SC_Loop 1'!G39</f>
        <v>5.0000000000000001E-3</v>
      </c>
      <c r="H39" s="57">
        <f t="shared" si="3"/>
        <v>0</v>
      </c>
      <c r="I39" s="49"/>
      <c r="J39" s="49"/>
      <c r="K39" s="49">
        <f t="shared" si="7"/>
        <v>0</v>
      </c>
      <c r="L39" s="49"/>
      <c r="M39" s="106" t="str">
        <f>IF(K39&lt;&gt;0,K39*20," ")</f>
        <v xml:space="preserve"> </v>
      </c>
      <c r="O39" s="13" t="str">
        <f t="shared" si="9"/>
        <v xml:space="preserve"> </v>
      </c>
    </row>
    <row r="40" spans="1:15" ht="25" x14ac:dyDescent="0.25">
      <c r="A40" s="115" t="str">
        <f>'SC_Loop 1'!A40</f>
        <v>MAD-431 &amp; MAD-431-I</v>
      </c>
      <c r="B40" s="208" t="str">
        <f>'SC_Loop 1'!B40</f>
        <v>1 output 24V addressable module</v>
      </c>
      <c r="C40" s="97"/>
      <c r="D40" s="20">
        <f>'SC_Loop 1'!D40</f>
        <v>2.1499999999999999E-4</v>
      </c>
      <c r="E40" s="57">
        <f t="shared" si="2"/>
        <v>0</v>
      </c>
      <c r="F40" s="199">
        <f>C40*'System Calculation'!$I$14</f>
        <v>0</v>
      </c>
      <c r="G40" s="20">
        <f>'SC_Loop 1'!G40</f>
        <v>3.6099999999999999E-3</v>
      </c>
      <c r="H40" s="57">
        <f t="shared" si="3"/>
        <v>0</v>
      </c>
      <c r="I40" s="49"/>
      <c r="J40" s="49"/>
      <c r="K40" s="49" t="str">
        <f>IF(C40&lt;&gt;0,C40," ")</f>
        <v xml:space="preserve"> </v>
      </c>
      <c r="L40" s="49"/>
      <c r="M40" s="106" t="str">
        <f>IF(K40&lt;&gt;0,K40," ")</f>
        <v xml:space="preserve"> </v>
      </c>
      <c r="O40" s="13" t="str">
        <f t="shared" si="9"/>
        <v xml:space="preserve"> </v>
      </c>
    </row>
    <row r="41" spans="1:15" ht="25" x14ac:dyDescent="0.25">
      <c r="A41" s="115" t="str">
        <f>'SC_Loop 1'!A41</f>
        <v>MAD-432 &amp; MAD-432-I</v>
      </c>
      <c r="B41" s="208" t="str">
        <f>'SC_Loop 1'!B41</f>
        <v>2 outputs 24V addressable module</v>
      </c>
      <c r="C41" s="97"/>
      <c r="D41" s="20">
        <f>'SC_Loop 1'!D41</f>
        <v>2.0330000000000001E-4</v>
      </c>
      <c r="E41" s="57">
        <f t="shared" si="2"/>
        <v>0</v>
      </c>
      <c r="F41" s="199">
        <f>C41*'System Calculation'!$I$14</f>
        <v>0</v>
      </c>
      <c r="G41" s="20">
        <f>'SC_Loop 1'!G41</f>
        <v>6.7999999999999996E-3</v>
      </c>
      <c r="H41" s="57">
        <f t="shared" si="3"/>
        <v>0</v>
      </c>
      <c r="I41" s="49"/>
      <c r="J41" s="49"/>
      <c r="K41" s="49" t="str">
        <f t="shared" ref="K41:K43" si="10">IF(C41&lt;&gt;0,C41," ")</f>
        <v xml:space="preserve"> </v>
      </c>
      <c r="L41" s="49"/>
      <c r="M41" s="106" t="str">
        <f>IF(K41&lt;&gt;0,K41," ")</f>
        <v xml:space="preserve"> </v>
      </c>
      <c r="O41" s="13" t="str">
        <f t="shared" si="9"/>
        <v xml:space="preserve"> </v>
      </c>
    </row>
    <row r="42" spans="1:15" ht="25" x14ac:dyDescent="0.25">
      <c r="A42" s="115" t="str">
        <f>'SC_Loop 1'!A42</f>
        <v>MAD-441 &amp; MAD-441-I</v>
      </c>
      <c r="B42" s="208" t="str">
        <f>'SC_Loop 1'!B42</f>
        <v>1 conventional zone addressable module</v>
      </c>
      <c r="C42" s="97"/>
      <c r="D42" s="20">
        <f>'SC_Loop 1'!D42</f>
        <v>1.8780000000000001E-4</v>
      </c>
      <c r="E42" s="57">
        <f t="shared" si="2"/>
        <v>0</v>
      </c>
      <c r="F42" s="199">
        <f>C42*'System Calculation'!$I$14</f>
        <v>0</v>
      </c>
      <c r="G42" s="20">
        <f>'SC_Loop 1'!G42</f>
        <v>3.0400000000000002E-3</v>
      </c>
      <c r="H42" s="57">
        <f t="shared" si="3"/>
        <v>0</v>
      </c>
      <c r="I42" s="49"/>
      <c r="J42" s="49"/>
      <c r="K42" s="49" t="str">
        <f t="shared" si="10"/>
        <v xml:space="preserve"> </v>
      </c>
      <c r="L42" s="49"/>
      <c r="M42" s="106" t="str">
        <f t="shared" ref="M42:M43" si="11">IF(K42&lt;&gt;0,K42," ")</f>
        <v xml:space="preserve"> </v>
      </c>
      <c r="O42" s="13" t="str">
        <f t="shared" si="9"/>
        <v xml:space="preserve"> </v>
      </c>
    </row>
    <row r="43" spans="1:15" ht="25" x14ac:dyDescent="0.25">
      <c r="A43" s="115" t="str">
        <f>'SC_Loop 1'!A43</f>
        <v>MAD-442 &amp; MAD-442-I</v>
      </c>
      <c r="B43" s="208" t="str">
        <f>'SC_Loop 1'!B43</f>
        <v>2 conventionals zones addressable module</v>
      </c>
      <c r="C43" s="97"/>
      <c r="D43" s="20">
        <f>'SC_Loop 1'!D43</f>
        <v>1.8780000000000001E-4</v>
      </c>
      <c r="E43" s="57">
        <f t="shared" si="2"/>
        <v>0</v>
      </c>
      <c r="F43" s="199">
        <f>C43*'System Calculation'!$I$14</f>
        <v>0</v>
      </c>
      <c r="G43" s="20">
        <f>'SC_Loop 1'!G43</f>
        <v>5.8399999999999997E-3</v>
      </c>
      <c r="H43" s="57">
        <f t="shared" si="3"/>
        <v>0</v>
      </c>
      <c r="I43" s="49"/>
      <c r="J43" s="49"/>
      <c r="K43" s="49" t="str">
        <f t="shared" si="10"/>
        <v xml:space="preserve"> </v>
      </c>
      <c r="L43" s="49"/>
      <c r="M43" s="106" t="str">
        <f t="shared" si="11"/>
        <v xml:space="preserve"> </v>
      </c>
      <c r="O43" s="13" t="str">
        <f t="shared" si="9"/>
        <v xml:space="preserve"> </v>
      </c>
    </row>
    <row r="44" spans="1:15" ht="25" x14ac:dyDescent="0.25">
      <c r="A44" s="115" t="str">
        <f>'SC_Loop 1'!A44</f>
        <v>MAD-450 &amp; MAD-450-I</v>
      </c>
      <c r="B44" s="208" t="str">
        <f>'SC_Loop 1'!B44</f>
        <v>Addressable manual call point with isolator</v>
      </c>
      <c r="C44" s="97"/>
      <c r="D44" s="20">
        <f>'SC_Loop 1'!D44</f>
        <v>1.7659999999999998E-4</v>
      </c>
      <c r="E44" s="57">
        <f t="shared" si="2"/>
        <v>0</v>
      </c>
      <c r="F44" s="199">
        <f>C44*'System Calculation'!$I$12</f>
        <v>0</v>
      </c>
      <c r="G44" s="20">
        <f>'SC_Loop 1'!G44</f>
        <v>3.0299999999999997E-3</v>
      </c>
      <c r="H44" s="57">
        <f t="shared" si="3"/>
        <v>0</v>
      </c>
      <c r="I44" s="49"/>
      <c r="J44" s="49" t="str">
        <f t="shared" ref="J44:J45" si="12">IF(C44&lt;&gt;0,C44," ")</f>
        <v xml:space="preserve"> </v>
      </c>
      <c r="K44" s="49"/>
      <c r="L44" s="49"/>
      <c r="M44" s="106" t="str">
        <f t="shared" si="4"/>
        <v xml:space="preserve"> </v>
      </c>
    </row>
    <row r="45" spans="1:15" ht="25" x14ac:dyDescent="0.25">
      <c r="A45" s="115" t="str">
        <f>'SC_Loop 1'!A45</f>
        <v>MAD-451-I</v>
      </c>
      <c r="B45" s="208" t="str">
        <f>'SC_Loop 1'!B45</f>
        <v>Addressable manual call point with isolator</v>
      </c>
      <c r="C45" s="97"/>
      <c r="D45" s="20">
        <f>'SC_Loop 1'!D45</f>
        <v>1.774E-4</v>
      </c>
      <c r="E45" s="57">
        <f t="shared" si="2"/>
        <v>0</v>
      </c>
      <c r="F45" s="199">
        <f>C45*'System Calculation'!$I$12</f>
        <v>0</v>
      </c>
      <c r="G45" s="20">
        <f>'SC_Loop 1'!G45</f>
        <v>3.0000000000000001E-3</v>
      </c>
      <c r="H45" s="57">
        <f t="shared" si="3"/>
        <v>0</v>
      </c>
      <c r="I45" s="49"/>
      <c r="J45" s="49" t="str">
        <f t="shared" si="12"/>
        <v xml:space="preserve"> </v>
      </c>
      <c r="K45" s="49"/>
      <c r="L45" s="49"/>
      <c r="M45" s="106" t="str">
        <f t="shared" si="4"/>
        <v xml:space="preserve"> </v>
      </c>
    </row>
    <row r="46" spans="1:15" ht="25" x14ac:dyDescent="0.25">
      <c r="A46" s="115" t="str">
        <f>'SC_Loop 1'!A46</f>
        <v>MAD-461-I</v>
      </c>
      <c r="B46" s="208" t="str">
        <f>'SC_Loop 1'!B46</f>
        <v>Addressable sounder with isolator</v>
      </c>
      <c r="C46" s="97"/>
      <c r="D46" s="20">
        <f>'SC_Loop 1'!D46</f>
        <v>1.7689999999999999E-4</v>
      </c>
      <c r="E46" s="57">
        <f t="shared" si="2"/>
        <v>0</v>
      </c>
      <c r="F46" s="199">
        <f>C46*'System Calculation'!$I$13</f>
        <v>0</v>
      </c>
      <c r="G46" s="20">
        <f>'SC_Loop 1'!G46</f>
        <v>8.3499999999999998E-3</v>
      </c>
      <c r="H46" s="57">
        <f>F46*G46</f>
        <v>0</v>
      </c>
      <c r="I46" s="49" t="str">
        <f>IF(C46*H46=0," ",H46)</f>
        <v xml:space="preserve"> </v>
      </c>
      <c r="J46" s="49"/>
      <c r="K46" s="49"/>
      <c r="L46" s="49" t="str">
        <f t="shared" ref="L46:L66" si="13">IF(C46&lt;&gt;0,C46," ")</f>
        <v xml:space="preserve"> </v>
      </c>
      <c r="M46" s="106" t="str">
        <f>IF(L46&lt;&gt;0,L46," ")</f>
        <v xml:space="preserve"> </v>
      </c>
    </row>
    <row r="47" spans="1:15" ht="25" x14ac:dyDescent="0.25">
      <c r="A47" s="115" t="str">
        <f>'SC_Loop 1'!A47</f>
        <v>MAD-464-I Low Volume (78 dB)</v>
      </c>
      <c r="B47" s="208" t="str">
        <f>'SC_Loop 1'!B47</f>
        <v>Addressable sounder with isolator</v>
      </c>
      <c r="C47" s="97"/>
      <c r="D47" s="20">
        <f>'SC_Loop 1'!D47</f>
        <v>1.7649999999999998E-4</v>
      </c>
      <c r="E47" s="57">
        <f t="shared" si="2"/>
        <v>0</v>
      </c>
      <c r="F47" s="199">
        <f>C47*'System Calculation'!$I$13</f>
        <v>0</v>
      </c>
      <c r="G47" s="20">
        <f>'SC_Loop 1'!G47</f>
        <v>1.2320000000000001E-2</v>
      </c>
      <c r="H47" s="57">
        <f t="shared" si="3"/>
        <v>0</v>
      </c>
      <c r="I47" s="49" t="str">
        <f t="shared" ref="I47:I66" si="14">IF(C47*H47=0," ",H47)</f>
        <v xml:space="preserve"> </v>
      </c>
      <c r="J47" s="49"/>
      <c r="K47" s="49"/>
      <c r="L47" s="49" t="str">
        <f t="shared" si="13"/>
        <v xml:space="preserve"> </v>
      </c>
      <c r="M47" s="106" t="str">
        <f t="shared" ref="M47:M66" si="15">IF(L47&lt;&gt;0,L47," ")</f>
        <v xml:space="preserve"> </v>
      </c>
    </row>
    <row r="48" spans="1:15" ht="25" x14ac:dyDescent="0.25">
      <c r="A48" s="115" t="str">
        <f>'SC_Loop 1'!A48</f>
        <v>MAD-464-I Medium Volume (93 dB)</v>
      </c>
      <c r="B48" s="208" t="str">
        <f>'SC_Loop 1'!B48</f>
        <v>Addressable sounder with isolator</v>
      </c>
      <c r="C48" s="97"/>
      <c r="D48" s="20">
        <f>'SC_Loop 1'!D48</f>
        <v>1.7649999999999998E-4</v>
      </c>
      <c r="E48" s="57">
        <f t="shared" si="2"/>
        <v>0</v>
      </c>
      <c r="F48" s="199">
        <f>C48*'System Calculation'!$I$13</f>
        <v>0</v>
      </c>
      <c r="G48" s="20">
        <f>'SC_Loop 1'!G48</f>
        <v>1.2320000000000001E-2</v>
      </c>
      <c r="H48" s="57">
        <f t="shared" si="3"/>
        <v>0</v>
      </c>
      <c r="I48" s="49" t="str">
        <f t="shared" si="14"/>
        <v xml:space="preserve"> </v>
      </c>
      <c r="J48" s="49"/>
      <c r="K48" s="49"/>
      <c r="L48" s="49" t="str">
        <f t="shared" si="13"/>
        <v xml:space="preserve"> </v>
      </c>
      <c r="M48" s="106" t="str">
        <f t="shared" si="15"/>
        <v xml:space="preserve"> </v>
      </c>
    </row>
    <row r="49" spans="1:15" ht="25" x14ac:dyDescent="0.25">
      <c r="A49" s="115" t="str">
        <f>'SC_Loop 1'!A49</f>
        <v>MAD-464-I High Volume (97 dB)</v>
      </c>
      <c r="B49" s="208" t="str">
        <f>'SC_Loop 1'!B49</f>
        <v>Addressable sounder with isolator</v>
      </c>
      <c r="C49" s="97"/>
      <c r="D49" s="20">
        <f>'SC_Loop 1'!D49</f>
        <v>1.7649999999999998E-4</v>
      </c>
      <c r="E49" s="57">
        <f t="shared" si="2"/>
        <v>0</v>
      </c>
      <c r="F49" s="199">
        <f>C49*'System Calculation'!$I$13</f>
        <v>0</v>
      </c>
      <c r="G49" s="20">
        <f>'SC_Loop 1'!G49</f>
        <v>1.2320000000000001E-2</v>
      </c>
      <c r="H49" s="57">
        <f t="shared" si="3"/>
        <v>0</v>
      </c>
      <c r="I49" s="49" t="str">
        <f t="shared" si="14"/>
        <v xml:space="preserve"> </v>
      </c>
      <c r="J49" s="49"/>
      <c r="K49" s="49"/>
      <c r="L49" s="49" t="str">
        <f t="shared" si="13"/>
        <v xml:space="preserve"> </v>
      </c>
      <c r="M49" s="106" t="str">
        <f t="shared" si="15"/>
        <v xml:space="preserve"> </v>
      </c>
    </row>
    <row r="50" spans="1:15" ht="37.5" x14ac:dyDescent="0.25">
      <c r="A50" s="115" t="str">
        <f>'SC_Loop 1'!A50</f>
        <v>MAD-465-I Low Volume (78 dB)</v>
      </c>
      <c r="B50" s="208" t="str">
        <f>'SC_Loop 1'!B50</f>
        <v>Addressable sounder with beacon and isolator</v>
      </c>
      <c r="C50" s="97"/>
      <c r="D50" s="20">
        <f>'SC_Loop 1'!D50</f>
        <v>1.773E-4</v>
      </c>
      <c r="E50" s="57">
        <f t="shared" si="2"/>
        <v>0</v>
      </c>
      <c r="F50" s="199">
        <f>C50*'System Calculation'!$I$13</f>
        <v>0</v>
      </c>
      <c r="G50" s="20">
        <f>'SC_Loop 1'!G50</f>
        <v>1.2320000000000001E-2</v>
      </c>
      <c r="H50" s="57">
        <f t="shared" si="3"/>
        <v>0</v>
      </c>
      <c r="I50" s="49" t="str">
        <f t="shared" si="14"/>
        <v xml:space="preserve"> </v>
      </c>
      <c r="J50" s="49"/>
      <c r="K50" s="49"/>
      <c r="L50" s="49" t="str">
        <f t="shared" si="13"/>
        <v xml:space="preserve"> </v>
      </c>
      <c r="M50" s="106" t="str">
        <f t="shared" si="15"/>
        <v xml:space="preserve"> </v>
      </c>
    </row>
    <row r="51" spans="1:15" ht="37.5" x14ac:dyDescent="0.25">
      <c r="A51" s="115" t="str">
        <f>'SC_Loop 1'!A51</f>
        <v>MAD-465-I Medium Volume (93 dB)</v>
      </c>
      <c r="B51" s="208" t="str">
        <f>'SC_Loop 1'!B51</f>
        <v>Addressable sounder with beacon and isolator</v>
      </c>
      <c r="C51" s="97"/>
      <c r="D51" s="20">
        <f>'SC_Loop 1'!D51</f>
        <v>1.773E-4</v>
      </c>
      <c r="E51" s="57">
        <f t="shared" si="2"/>
        <v>0</v>
      </c>
      <c r="F51" s="199">
        <f>C51*'System Calculation'!$I$13</f>
        <v>0</v>
      </c>
      <c r="G51" s="20">
        <f>'SC_Loop 1'!G51</f>
        <v>1.2320000000000001E-2</v>
      </c>
      <c r="H51" s="57">
        <f t="shared" si="3"/>
        <v>0</v>
      </c>
      <c r="I51" s="49" t="str">
        <f t="shared" si="14"/>
        <v xml:space="preserve"> </v>
      </c>
      <c r="J51" s="49"/>
      <c r="K51" s="49"/>
      <c r="L51" s="49" t="str">
        <f t="shared" si="13"/>
        <v xml:space="preserve"> </v>
      </c>
      <c r="M51" s="106" t="str">
        <f t="shared" si="15"/>
        <v xml:space="preserve"> </v>
      </c>
    </row>
    <row r="52" spans="1:15" ht="37.5" x14ac:dyDescent="0.25">
      <c r="A52" s="115" t="str">
        <f>'SC_Loop 1'!A52</f>
        <v>MAD-465-I High Volume (97 dB)</v>
      </c>
      <c r="B52" s="208" t="str">
        <f>'SC_Loop 1'!B52</f>
        <v>Addressable sounder with beacon and isolator</v>
      </c>
      <c r="C52" s="97"/>
      <c r="D52" s="20">
        <f>'SC_Loop 1'!D52</f>
        <v>1.773E-4</v>
      </c>
      <c r="E52" s="57">
        <f t="shared" si="2"/>
        <v>0</v>
      </c>
      <c r="F52" s="199">
        <f>C52*'System Calculation'!$I$13</f>
        <v>0</v>
      </c>
      <c r="G52" s="20">
        <f>'SC_Loop 1'!G52</f>
        <v>1.2320000000000001E-2</v>
      </c>
      <c r="H52" s="57">
        <f t="shared" si="3"/>
        <v>0</v>
      </c>
      <c r="I52" s="49" t="str">
        <f t="shared" si="14"/>
        <v xml:space="preserve"> </v>
      </c>
      <c r="J52" s="49"/>
      <c r="K52" s="49"/>
      <c r="L52" s="49" t="str">
        <f t="shared" si="13"/>
        <v xml:space="preserve"> </v>
      </c>
      <c r="M52" s="106" t="str">
        <f t="shared" si="15"/>
        <v xml:space="preserve"> </v>
      </c>
    </row>
    <row r="53" spans="1:15" ht="25" x14ac:dyDescent="0.25">
      <c r="A53" s="115" t="str">
        <f>'SC_Loop 1'!A53</f>
        <v>MAD-564-I (loop)</v>
      </c>
      <c r="B53" s="208" t="str">
        <f>'SC_Loop 1'!B53</f>
        <v>Addressable sounder with isolator</v>
      </c>
      <c r="C53" s="97"/>
      <c r="D53" s="20">
        <f>'SC_Loop 1'!D53</f>
        <v>1.58E-3</v>
      </c>
      <c r="E53" s="57">
        <f t="shared" si="2"/>
        <v>0</v>
      </c>
      <c r="F53" s="199">
        <f>C53*'System Calculation'!$I$13</f>
        <v>0</v>
      </c>
      <c r="G53" s="20">
        <f>'SC_Loop 1'!G53</f>
        <v>2.111E-2</v>
      </c>
      <c r="H53" s="57">
        <f t="shared" si="3"/>
        <v>0</v>
      </c>
      <c r="I53" s="49" t="str">
        <f t="shared" si="14"/>
        <v xml:space="preserve"> </v>
      </c>
      <c r="J53" s="49"/>
      <c r="K53" s="49"/>
      <c r="L53" s="49" t="str">
        <f t="shared" si="13"/>
        <v xml:space="preserve"> </v>
      </c>
      <c r="M53" s="106" t="str">
        <f t="shared" si="15"/>
        <v xml:space="preserve"> </v>
      </c>
    </row>
    <row r="54" spans="1:15" ht="25" x14ac:dyDescent="0.25">
      <c r="A54" s="115" t="str">
        <f>'SC_Loop 1'!A54</f>
        <v>MAD-564-I (External PS)</v>
      </c>
      <c r="B54" s="208" t="str">
        <f>'SC_Loop 1'!B54</f>
        <v>Addressable sounder with isolator</v>
      </c>
      <c r="C54" s="97"/>
      <c r="D54" s="20">
        <f>'SC_Loop 1'!D54</f>
        <v>3.5E-4</v>
      </c>
      <c r="E54" s="57">
        <f t="shared" si="2"/>
        <v>0</v>
      </c>
      <c r="F54" s="199">
        <f>C54*'System Calculation'!$I$13</f>
        <v>0</v>
      </c>
      <c r="G54" s="20">
        <f>'SC_Loop 1'!G54</f>
        <v>8.0000000000000004E-4</v>
      </c>
      <c r="H54" s="57">
        <f t="shared" si="3"/>
        <v>0</v>
      </c>
      <c r="I54" s="49" t="str">
        <f t="shared" si="14"/>
        <v xml:space="preserve"> </v>
      </c>
      <c r="J54" s="49"/>
      <c r="K54" s="49"/>
      <c r="L54" s="49" t="str">
        <f t="shared" si="13"/>
        <v xml:space="preserve"> </v>
      </c>
      <c r="M54" s="106" t="str">
        <f t="shared" si="15"/>
        <v xml:space="preserve"> </v>
      </c>
      <c r="O54" s="13" t="str">
        <f>IF(AND(C53&gt;0),"Info: External 24V needed. EN 54-4 certificate."," ")</f>
        <v xml:space="preserve"> </v>
      </c>
    </row>
    <row r="55" spans="1:15" ht="25" x14ac:dyDescent="0.25">
      <c r="A55" s="115" t="str">
        <f>'SC_Loop 1'!A55</f>
        <v>MAD-565-I (loop)</v>
      </c>
      <c r="B55" s="208" t="str">
        <f>'SC_Loop 1'!B55</f>
        <v>Addressable sounder with VAD and isolator</v>
      </c>
      <c r="C55" s="97"/>
      <c r="D55" s="20">
        <f>'SC_Loop 1'!D55</f>
        <v>1.58E-3</v>
      </c>
      <c r="E55" s="57">
        <f t="shared" si="2"/>
        <v>0</v>
      </c>
      <c r="F55" s="199">
        <f>C55*'System Calculation'!$I$13</f>
        <v>0</v>
      </c>
      <c r="G55" s="20">
        <f>'SC_Loop 1'!G55</f>
        <v>3.3450000000000001E-2</v>
      </c>
      <c r="H55" s="57">
        <f t="shared" si="3"/>
        <v>0</v>
      </c>
      <c r="I55" s="49" t="str">
        <f t="shared" si="14"/>
        <v xml:space="preserve"> </v>
      </c>
      <c r="J55" s="49"/>
      <c r="K55" s="49"/>
      <c r="L55" s="49" t="str">
        <f t="shared" si="13"/>
        <v xml:space="preserve"> </v>
      </c>
      <c r="M55" s="106" t="str">
        <f t="shared" si="15"/>
        <v xml:space="preserve"> </v>
      </c>
    </row>
    <row r="56" spans="1:15" ht="25" x14ac:dyDescent="0.25">
      <c r="A56" s="115" t="str">
        <f>'SC_Loop 1'!A56</f>
        <v>MAD-565-I (External PS)</v>
      </c>
      <c r="B56" s="208" t="str">
        <f>'SC_Loop 1'!B56</f>
        <v>Addressable sounder with VAD and isolator</v>
      </c>
      <c r="C56" s="97"/>
      <c r="D56" s="20">
        <f>'SC_Loop 1'!D56</f>
        <v>3.5E-4</v>
      </c>
      <c r="E56" s="57">
        <f t="shared" si="2"/>
        <v>0</v>
      </c>
      <c r="F56" s="199">
        <f>C56*'System Calculation'!$I$13</f>
        <v>0</v>
      </c>
      <c r="G56" s="20">
        <f>'SC_Loop 1'!G56</f>
        <v>8.0000000000000004E-4</v>
      </c>
      <c r="H56" s="57">
        <f t="shared" si="3"/>
        <v>0</v>
      </c>
      <c r="I56" s="49" t="str">
        <f t="shared" si="14"/>
        <v xml:space="preserve"> </v>
      </c>
      <c r="J56" s="49"/>
      <c r="K56" s="49"/>
      <c r="L56" s="49" t="str">
        <f t="shared" si="13"/>
        <v xml:space="preserve"> </v>
      </c>
      <c r="M56" s="106" t="str">
        <f t="shared" si="15"/>
        <v xml:space="preserve"> </v>
      </c>
      <c r="O56" s="13" t="str">
        <f>IF(AND(C55&gt;0),"Info: External 24V needed. EN 54-4 certificate."," ")</f>
        <v xml:space="preserve"> </v>
      </c>
    </row>
    <row r="57" spans="1:15" ht="25" x14ac:dyDescent="0.25">
      <c r="A57" s="115" t="str">
        <f>'SC_Loop 1'!A57</f>
        <v>MAD-565-I - only flash (loop)</v>
      </c>
      <c r="B57" s="208" t="str">
        <f>'SC_Loop 1'!B57</f>
        <v>Addressable VAD with isolator</v>
      </c>
      <c r="C57" s="97"/>
      <c r="D57" s="20">
        <f>'SC_Loop 1'!D57</f>
        <v>1.58E-3</v>
      </c>
      <c r="E57" s="57">
        <f>C57*D57</f>
        <v>0</v>
      </c>
      <c r="F57" s="199">
        <f>C57*'System Calculation'!$I$13</f>
        <v>0</v>
      </c>
      <c r="G57" s="20">
        <f>'SC_Loop 1'!G57</f>
        <v>3.3450000000000001E-2</v>
      </c>
      <c r="H57" s="57">
        <f t="shared" si="3"/>
        <v>0</v>
      </c>
      <c r="I57" s="49" t="str">
        <f t="shared" si="14"/>
        <v xml:space="preserve"> </v>
      </c>
      <c r="J57" s="49"/>
      <c r="K57" s="49"/>
      <c r="L57" s="49" t="str">
        <f t="shared" si="13"/>
        <v xml:space="preserve"> </v>
      </c>
      <c r="M57" s="106" t="str">
        <f t="shared" si="15"/>
        <v xml:space="preserve"> </v>
      </c>
    </row>
    <row r="58" spans="1:15" ht="25" x14ac:dyDescent="0.25">
      <c r="A58" s="115" t="str">
        <f>'SC_Loop 1'!A58</f>
        <v>MAD-565-I - only flash (External PS)</v>
      </c>
      <c r="B58" s="208" t="str">
        <f>'SC_Loop 1'!B58</f>
        <v>Addressable VAD with isolator</v>
      </c>
      <c r="C58" s="97"/>
      <c r="D58" s="20">
        <f>'SC_Loop 1'!D58</f>
        <v>3.5E-4</v>
      </c>
      <c r="E58" s="57">
        <f t="shared" ref="E58" si="16">C58*D58</f>
        <v>0</v>
      </c>
      <c r="F58" s="199">
        <f>C58*'System Calculation'!$I$13</f>
        <v>0</v>
      </c>
      <c r="G58" s="20">
        <f>'SC_Loop 1'!G58</f>
        <v>8.0000000000000004E-4</v>
      </c>
      <c r="H58" s="57">
        <f t="shared" si="3"/>
        <v>0</v>
      </c>
      <c r="I58" s="49" t="str">
        <f t="shared" si="14"/>
        <v xml:space="preserve"> </v>
      </c>
      <c r="J58" s="49"/>
      <c r="K58" s="49"/>
      <c r="L58" s="49" t="str">
        <f t="shared" si="13"/>
        <v xml:space="preserve"> </v>
      </c>
      <c r="M58" s="106" t="str">
        <f t="shared" si="15"/>
        <v xml:space="preserve"> </v>
      </c>
      <c r="O58" s="13" t="str">
        <f>IF(AND(C57&gt;0),"Info: External 24V needed. EN 54-4 certificate."," ")</f>
        <v xml:space="preserve"> </v>
      </c>
    </row>
    <row r="59" spans="1:15" ht="25" x14ac:dyDescent="0.25">
      <c r="A59" s="115" t="str">
        <f>'SC_Loop 1'!A59</f>
        <v>MAD-567-I (loop)</v>
      </c>
      <c r="B59" s="208" t="str">
        <f>'SC_Loop 1'!B59</f>
        <v>Sounder base with isolator</v>
      </c>
      <c r="C59" s="97"/>
      <c r="D59" s="20">
        <f>'SC_Loop 1'!D59</f>
        <v>1.17E-3</v>
      </c>
      <c r="E59" s="57">
        <f t="shared" si="2"/>
        <v>0</v>
      </c>
      <c r="F59" s="199">
        <f>C59*'System Calculation'!$I$13</f>
        <v>0</v>
      </c>
      <c r="G59" s="20">
        <f>'SC_Loop 1'!G59</f>
        <v>8.9499999999999996E-3</v>
      </c>
      <c r="H59" s="57">
        <f t="shared" si="3"/>
        <v>0</v>
      </c>
      <c r="I59" s="49" t="str">
        <f t="shared" si="14"/>
        <v xml:space="preserve"> </v>
      </c>
      <c r="J59" s="49"/>
      <c r="K59" s="49"/>
      <c r="L59" s="49" t="str">
        <f t="shared" si="13"/>
        <v xml:space="preserve"> </v>
      </c>
      <c r="M59" s="106" t="str">
        <f t="shared" si="15"/>
        <v xml:space="preserve"> </v>
      </c>
    </row>
    <row r="60" spans="1:15" ht="25" x14ac:dyDescent="0.25">
      <c r="A60" s="115" t="str">
        <f>'SC_Loop 1'!A60</f>
        <v>MAD-567-I (External PS)</v>
      </c>
      <c r="B60" s="208" t="str">
        <f>'SC_Loop 1'!B60</f>
        <v>Sounder base with isolator</v>
      </c>
      <c r="C60" s="97"/>
      <c r="D60" s="20">
        <f>'SC_Loop 1'!D60</f>
        <v>2.61E-4</v>
      </c>
      <c r="E60" s="57">
        <f t="shared" si="2"/>
        <v>0</v>
      </c>
      <c r="F60" s="199">
        <f>C60*'System Calculation'!$I$13</f>
        <v>0</v>
      </c>
      <c r="G60" s="20">
        <f>'SC_Loop 1'!G60</f>
        <v>7.1000000000000002E-4</v>
      </c>
      <c r="H60" s="57">
        <f t="shared" si="3"/>
        <v>0</v>
      </c>
      <c r="I60" s="49" t="str">
        <f t="shared" si="14"/>
        <v xml:space="preserve"> </v>
      </c>
      <c r="J60" s="49"/>
      <c r="K60" s="49"/>
      <c r="L60" s="49" t="str">
        <f t="shared" si="13"/>
        <v xml:space="preserve"> </v>
      </c>
      <c r="M60" s="106" t="str">
        <f t="shared" si="15"/>
        <v xml:space="preserve"> </v>
      </c>
      <c r="O60" s="13" t="str">
        <f>IF(AND(C59&gt;0),"Info: External 24V needed. EN 54-4 certificate."," ")</f>
        <v xml:space="preserve"> </v>
      </c>
    </row>
    <row r="61" spans="1:15" ht="25" x14ac:dyDescent="0.25">
      <c r="A61" s="115" t="str">
        <f>'SC_Loop 1'!A61</f>
        <v>MAD-569-I (loop)</v>
      </c>
      <c r="B61" s="208" t="str">
        <f>'SC_Loop 1'!B61</f>
        <v>Sounder &amp; VAD base with isolator</v>
      </c>
      <c r="C61" s="97"/>
      <c r="D61" s="20">
        <f>'SC_Loop 1'!D61</f>
        <v>1.17E-3</v>
      </c>
      <c r="E61" s="57">
        <f t="shared" si="2"/>
        <v>0</v>
      </c>
      <c r="F61" s="199">
        <f>C61*'System Calculation'!$I$13</f>
        <v>0</v>
      </c>
      <c r="G61" s="20">
        <f>'SC_Loop 1'!G61</f>
        <v>2.3260000000000003E-2</v>
      </c>
      <c r="H61" s="57">
        <f t="shared" si="3"/>
        <v>0</v>
      </c>
      <c r="I61" s="49" t="str">
        <f t="shared" si="14"/>
        <v xml:space="preserve"> </v>
      </c>
      <c r="J61" s="49"/>
      <c r="K61" s="49"/>
      <c r="L61" s="49" t="str">
        <f t="shared" si="13"/>
        <v xml:space="preserve"> </v>
      </c>
      <c r="M61" s="106" t="str">
        <f t="shared" si="15"/>
        <v xml:space="preserve"> </v>
      </c>
    </row>
    <row r="62" spans="1:15" ht="25" x14ac:dyDescent="0.25">
      <c r="A62" s="115" t="str">
        <f>'SC_Loop 1'!A62</f>
        <v>MAD-569-I (External PS)</v>
      </c>
      <c r="B62" s="208" t="str">
        <f>'SC_Loop 1'!B62</f>
        <v>Sounder &amp; VAD base with isolator</v>
      </c>
      <c r="C62" s="97"/>
      <c r="D62" s="20">
        <f>'SC_Loop 1'!D62</f>
        <v>2.5889999999999995E-4</v>
      </c>
      <c r="E62" s="57">
        <f t="shared" si="2"/>
        <v>0</v>
      </c>
      <c r="F62" s="199">
        <f>C62*'System Calculation'!$I$13</f>
        <v>0</v>
      </c>
      <c r="G62" s="20">
        <f>'SC_Loop 1'!G62</f>
        <v>7.1000000000000002E-4</v>
      </c>
      <c r="H62" s="57">
        <f t="shared" si="3"/>
        <v>0</v>
      </c>
      <c r="I62" s="49" t="str">
        <f t="shared" si="14"/>
        <v xml:space="preserve"> </v>
      </c>
      <c r="J62" s="49"/>
      <c r="K62" s="49"/>
      <c r="L62" s="49" t="str">
        <f t="shared" si="13"/>
        <v xml:space="preserve"> </v>
      </c>
      <c r="M62" s="106" t="str">
        <f t="shared" si="15"/>
        <v xml:space="preserve"> </v>
      </c>
      <c r="O62" s="13" t="str">
        <f>IF(AND(C61&gt;0),"Info: External 24V needed. EN 54-4 certificate."," ")</f>
        <v xml:space="preserve"> </v>
      </c>
    </row>
    <row r="63" spans="1:15" ht="25" x14ac:dyDescent="0.25">
      <c r="A63" s="115" t="str">
        <f>'SC_Loop 1'!A63</f>
        <v>MAD-569-I - only flash (loop)</v>
      </c>
      <c r="B63" s="208" t="str">
        <f>'SC_Loop 1'!B63</f>
        <v>VAD base with isolator</v>
      </c>
      <c r="C63" s="97"/>
      <c r="D63" s="20">
        <f>'SC_Loop 1'!D63</f>
        <v>1.17E-3</v>
      </c>
      <c r="E63" s="57">
        <f t="shared" si="2"/>
        <v>0</v>
      </c>
      <c r="F63" s="199">
        <f>C63*'System Calculation'!$I$13</f>
        <v>0</v>
      </c>
      <c r="G63" s="20">
        <f>'SC_Loop 1'!G63</f>
        <v>2.3260000000000003E-2</v>
      </c>
      <c r="H63" s="57">
        <f t="shared" si="3"/>
        <v>0</v>
      </c>
      <c r="I63" s="49" t="str">
        <f t="shared" si="14"/>
        <v xml:space="preserve"> </v>
      </c>
      <c r="J63" s="49"/>
      <c r="K63" s="49"/>
      <c r="L63" s="49" t="str">
        <f t="shared" si="13"/>
        <v xml:space="preserve"> </v>
      </c>
      <c r="M63" s="106" t="str">
        <f t="shared" si="15"/>
        <v xml:space="preserve"> </v>
      </c>
    </row>
    <row r="64" spans="1:15" ht="25" x14ac:dyDescent="0.25">
      <c r="A64" s="115" t="str">
        <f>'SC_Loop 1'!A64</f>
        <v>MAD-569-I only flash (External PS)</v>
      </c>
      <c r="B64" s="208" t="str">
        <f>'SC_Loop 1'!B64</f>
        <v>VAD base with isolator</v>
      </c>
      <c r="C64" s="97"/>
      <c r="D64" s="20">
        <f>'SC_Loop 1'!D64</f>
        <v>2.5889999999999995E-4</v>
      </c>
      <c r="E64" s="57">
        <f t="shared" si="2"/>
        <v>0</v>
      </c>
      <c r="F64" s="199">
        <f>C64*'System Calculation'!$I$13</f>
        <v>0</v>
      </c>
      <c r="G64" s="20">
        <f>'SC_Loop 1'!G64</f>
        <v>7.1000000000000002E-4</v>
      </c>
      <c r="H64" s="57">
        <f t="shared" si="3"/>
        <v>0</v>
      </c>
      <c r="I64" s="49" t="str">
        <f t="shared" si="14"/>
        <v xml:space="preserve"> </v>
      </c>
      <c r="J64" s="49"/>
      <c r="K64" s="49"/>
      <c r="L64" s="49" t="str">
        <f t="shared" si="13"/>
        <v xml:space="preserve"> </v>
      </c>
      <c r="M64" s="106" t="str">
        <f t="shared" si="15"/>
        <v xml:space="preserve"> </v>
      </c>
      <c r="O64" s="13" t="str">
        <f>IF(AND(C63&gt;0),"Info: External 24V needed. EN 54-4 certificate."," ")</f>
        <v xml:space="preserve"> </v>
      </c>
    </row>
    <row r="65" spans="1:15" x14ac:dyDescent="0.25">
      <c r="A65" s="115" t="str">
        <f>'SC_Loop 1'!A65</f>
        <v>MAD-472</v>
      </c>
      <c r="B65" s="208" t="str">
        <f>'SC_Loop 1'!B65</f>
        <v>Sounder base</v>
      </c>
      <c r="C65" s="97"/>
      <c r="D65" s="20">
        <f>'SC_Loop 1'!D65</f>
        <v>1.0739999999999999E-4</v>
      </c>
      <c r="E65" s="57">
        <f>C65*D65</f>
        <v>0</v>
      </c>
      <c r="F65" s="199">
        <f>C65*'System Calculation'!$I$13</f>
        <v>0</v>
      </c>
      <c r="G65" s="20">
        <f>'SC_Loop 1'!G65</f>
        <v>8.4499999999999992E-3</v>
      </c>
      <c r="H65" s="57">
        <f t="shared" si="3"/>
        <v>0</v>
      </c>
      <c r="I65" s="49" t="str">
        <f t="shared" si="14"/>
        <v xml:space="preserve"> </v>
      </c>
      <c r="J65" s="49"/>
      <c r="K65" s="49"/>
      <c r="L65" s="49" t="str">
        <f t="shared" si="13"/>
        <v xml:space="preserve"> </v>
      </c>
      <c r="M65" s="106" t="str">
        <f t="shared" si="15"/>
        <v xml:space="preserve"> </v>
      </c>
      <c r="O65" s="13" t="str">
        <f>IF(AND(C65&gt;0),"Info: External 24V needed. EN 54-4 certificate."," ")</f>
        <v xml:space="preserve"> </v>
      </c>
    </row>
    <row r="66" spans="1:15" ht="25" x14ac:dyDescent="0.25">
      <c r="A66" s="115" t="str">
        <f>'SC_Loop 1'!A66</f>
        <v>MAD-473</v>
      </c>
      <c r="B66" s="208" t="str">
        <f>'SC_Loop 1'!B66</f>
        <v>Sounder base with flash</v>
      </c>
      <c r="C66" s="97"/>
      <c r="D66" s="20">
        <f>'SC_Loop 1'!D66</f>
        <v>1.0679999999999999E-4</v>
      </c>
      <c r="E66" s="57">
        <f t="shared" si="2"/>
        <v>0</v>
      </c>
      <c r="F66" s="199">
        <f>C66*'System Calculation'!$I$13</f>
        <v>0</v>
      </c>
      <c r="G66" s="20">
        <f>'SC_Loop 1'!G66</f>
        <v>9.4800000000000006E-3</v>
      </c>
      <c r="H66" s="57">
        <f t="shared" si="3"/>
        <v>0</v>
      </c>
      <c r="I66" s="49" t="str">
        <f t="shared" si="14"/>
        <v xml:space="preserve"> </v>
      </c>
      <c r="J66" s="49"/>
      <c r="K66" s="49"/>
      <c r="L66" s="49" t="str">
        <f t="shared" si="13"/>
        <v xml:space="preserve"> </v>
      </c>
      <c r="M66" s="106" t="str">
        <f t="shared" si="15"/>
        <v xml:space="preserve"> </v>
      </c>
    </row>
    <row r="67" spans="1:15" ht="25" x14ac:dyDescent="0.25">
      <c r="A67" s="115" t="str">
        <f>'SC_Loop 1'!A67</f>
        <v>MAD-481</v>
      </c>
      <c r="B67" s="208" t="str">
        <f>'SC_Loop 1'!B67</f>
        <v>1 output 230V addressable module</v>
      </c>
      <c r="C67" s="97"/>
      <c r="D67" s="20">
        <f>'SC_Loop 1'!D67</f>
        <v>2.9999999999999997E-4</v>
      </c>
      <c r="E67" s="57">
        <f t="shared" si="2"/>
        <v>0</v>
      </c>
      <c r="F67" s="199">
        <f>C67*'System Calculation'!$I$14</f>
        <v>0</v>
      </c>
      <c r="G67" s="20">
        <f>'SC_Loop 1'!G67</f>
        <v>3.0000000000000001E-3</v>
      </c>
      <c r="H67" s="57">
        <f t="shared" si="3"/>
        <v>0</v>
      </c>
      <c r="I67" s="49"/>
      <c r="J67" s="49"/>
      <c r="K67" s="49" t="str">
        <f>IF(C67&lt;&gt;0,C67," ")</f>
        <v xml:space="preserve"> </v>
      </c>
      <c r="L67" s="49"/>
      <c r="M67" s="106" t="str">
        <f>IF(K67&lt;&gt;0,K67," ")</f>
        <v xml:space="preserve"> </v>
      </c>
    </row>
    <row r="68" spans="1:15" ht="37.5" x14ac:dyDescent="0.25">
      <c r="A68" s="115" t="str">
        <f>'SC_Loop 1'!A68</f>
        <v>MAD-481-I</v>
      </c>
      <c r="B68" s="208" t="str">
        <f>'SC_Loop 1'!B68</f>
        <v>1 output 230V addressable module with isolator</v>
      </c>
      <c r="C68" s="97"/>
      <c r="D68" s="20">
        <f>'SC_Loop 1'!D68</f>
        <v>2.9999999999999997E-4</v>
      </c>
      <c r="E68" s="57">
        <f t="shared" si="2"/>
        <v>0</v>
      </c>
      <c r="F68" s="199">
        <f>C68*'System Calculation'!$I$14</f>
        <v>0</v>
      </c>
      <c r="G68" s="20">
        <f>'SC_Loop 1'!G68</f>
        <v>3.0000000000000001E-3</v>
      </c>
      <c r="H68" s="57">
        <f t="shared" si="3"/>
        <v>0</v>
      </c>
      <c r="I68" s="49"/>
      <c r="J68" s="49"/>
      <c r="K68" s="49" t="str">
        <f>IF(C68&lt;&gt;0,C68," ")</f>
        <v xml:space="preserve"> </v>
      </c>
      <c r="L68" s="49"/>
      <c r="M68" s="106" t="str">
        <f t="shared" ref="M68:M69" si="17">IF(K68&lt;&gt;0,K68," ")</f>
        <v xml:space="preserve"> </v>
      </c>
      <c r="O68" s="13"/>
    </row>
    <row r="69" spans="1:15" x14ac:dyDescent="0.25">
      <c r="A69" s="115" t="str">
        <f>'SC_Loop 1'!A69</f>
        <v>MAD-490</v>
      </c>
      <c r="B69" s="208" t="str">
        <f>'SC_Loop 1'!B69</f>
        <v>Isolator module</v>
      </c>
      <c r="C69" s="97"/>
      <c r="D69" s="20">
        <f>'SC_Loop 1'!D69</f>
        <v>6.9599999999999998E-5</v>
      </c>
      <c r="E69" s="57">
        <f t="shared" si="2"/>
        <v>0</v>
      </c>
      <c r="F69" s="199">
        <f>C69*'System Calculation'!$I$14</f>
        <v>0</v>
      </c>
      <c r="G69" s="20">
        <f>'SC_Loop 1'!G69</f>
        <v>3.7659999999999999E-2</v>
      </c>
      <c r="H69" s="57">
        <f t="shared" si="3"/>
        <v>0</v>
      </c>
      <c r="I69" s="49"/>
      <c r="J69" s="49"/>
      <c r="K69" s="49" t="str">
        <f>IF(C69&lt;&gt;0,C69," ")</f>
        <v xml:space="preserve"> </v>
      </c>
      <c r="L69" s="49"/>
      <c r="M69" s="106" t="str">
        <f t="shared" si="17"/>
        <v xml:space="preserve"> </v>
      </c>
    </row>
    <row r="70" spans="1:15" ht="25" x14ac:dyDescent="0.25">
      <c r="A70" s="115" t="str">
        <f>'SC_Loop 1'!A70</f>
        <v>PAD-10A-I</v>
      </c>
      <c r="B70" s="208" t="str">
        <f>'SC_Loop 1'!B70</f>
        <v>Remote indicator with isolator</v>
      </c>
      <c r="C70" s="97"/>
      <c r="D70" s="20">
        <f>'SC_Loop 1'!D70</f>
        <v>1.7640000000000001E-4</v>
      </c>
      <c r="E70" s="57">
        <f t="shared" si="2"/>
        <v>0</v>
      </c>
      <c r="F70" s="199">
        <f>IF(C70&gt;10,10,C70)</f>
        <v>0</v>
      </c>
      <c r="G70" s="20">
        <f>'SC_Loop 1'!G70</f>
        <v>2.98E-3</v>
      </c>
      <c r="H70" s="57">
        <f t="shared" si="3"/>
        <v>0</v>
      </c>
      <c r="I70" s="49"/>
      <c r="J70" s="49" t="str">
        <f t="shared" ref="J70" si="18">IF(C70&lt;&gt;0,C70," ")</f>
        <v xml:space="preserve"> </v>
      </c>
      <c r="K70" s="49"/>
      <c r="L70" s="49"/>
      <c r="M70" s="106" t="str">
        <f t="shared" si="4"/>
        <v xml:space="preserve"> </v>
      </c>
    </row>
    <row r="71" spans="1:15" ht="37.5" x14ac:dyDescent="0.25">
      <c r="A71" s="115" t="str">
        <f>'SC_Loop 1'!A71</f>
        <v>TPLD-100 (CCD-102) = 3 loop address</v>
      </c>
      <c r="B71" s="208" t="str">
        <f>'SC_Loop 1'!B71</f>
        <v>2 zones fire alarm control panel connected to loop</v>
      </c>
      <c r="C71" s="97"/>
      <c r="D71" s="20">
        <f>'SC_Loop 1'!D71</f>
        <v>1.8629999999999999E-3</v>
      </c>
      <c r="E71" s="57">
        <f t="shared" si="2"/>
        <v>0</v>
      </c>
      <c r="F71" s="199">
        <f>C71</f>
        <v>0</v>
      </c>
      <c r="G71" s="20">
        <f>'SC_Loop 1'!G71</f>
        <v>1.8600000000000001E-3</v>
      </c>
      <c r="H71" s="57">
        <f t="shared" si="3"/>
        <v>0</v>
      </c>
      <c r="I71" s="49"/>
      <c r="J71" s="49"/>
      <c r="K71" s="49"/>
      <c r="L71" s="49"/>
      <c r="M71" s="106" t="str">
        <f>IF(C75&lt;&gt;0,3*C75," ")</f>
        <v xml:space="preserve"> </v>
      </c>
    </row>
    <row r="72" spans="1:15" ht="37.5" x14ac:dyDescent="0.25">
      <c r="A72" s="115" t="str">
        <f>'SC_Loop 1'!A72</f>
        <v>TPLD-100 (CCD-104) = 5 loop address</v>
      </c>
      <c r="B72" s="208" t="str">
        <f>'SC_Loop 1'!B72</f>
        <v>4 zones fire alarm control panel connected to loop</v>
      </c>
      <c r="C72" s="97"/>
      <c r="D72" s="20">
        <f>'SC_Loop 1'!D72</f>
        <v>1.8629999999999999E-3</v>
      </c>
      <c r="E72" s="57">
        <f t="shared" si="2"/>
        <v>0</v>
      </c>
      <c r="F72" s="199">
        <f t="shared" ref="F72:F75" si="19">C72</f>
        <v>0</v>
      </c>
      <c r="G72" s="20">
        <f>'SC_Loop 1'!G72</f>
        <v>1.8600000000000001E-3</v>
      </c>
      <c r="H72" s="57">
        <f t="shared" si="3"/>
        <v>0</v>
      </c>
      <c r="I72" s="49"/>
      <c r="J72" s="49"/>
      <c r="K72" s="49"/>
      <c r="L72" s="49"/>
      <c r="M72" s="106" t="str">
        <f>IF(C75&lt;&gt;0,5*C75," ")</f>
        <v xml:space="preserve"> </v>
      </c>
    </row>
    <row r="73" spans="1:15" ht="37.5" x14ac:dyDescent="0.25">
      <c r="A73" s="115" t="str">
        <f>'SC_Loop 1'!A73</f>
        <v>TPLD-100 (CCD-108) = 9 loop address</v>
      </c>
      <c r="B73" s="208" t="str">
        <f>'SC_Loop 1'!B73</f>
        <v>8 zones fire alarm control panel connected to loop</v>
      </c>
      <c r="C73" s="97"/>
      <c r="D73" s="20">
        <f>'SC_Loop 1'!D73</f>
        <v>1.8629999999999999E-3</v>
      </c>
      <c r="E73" s="57">
        <f t="shared" si="2"/>
        <v>0</v>
      </c>
      <c r="F73" s="199">
        <f t="shared" si="19"/>
        <v>0</v>
      </c>
      <c r="G73" s="20">
        <f>'SC_Loop 1'!G73</f>
        <v>1.8600000000000001E-3</v>
      </c>
      <c r="H73" s="57">
        <f t="shared" si="3"/>
        <v>0</v>
      </c>
      <c r="I73" s="49"/>
      <c r="J73" s="49"/>
      <c r="K73" s="49"/>
      <c r="L73" s="49"/>
      <c r="M73" s="106" t="str">
        <f>IF(C75&lt;&gt;0,9*C75," ")</f>
        <v xml:space="preserve"> </v>
      </c>
    </row>
    <row r="74" spans="1:15" ht="37.5" x14ac:dyDescent="0.25">
      <c r="A74" s="115" t="str">
        <f>'SC_Loop 1'!A74</f>
        <v>TPLD-100 (CCD-112) = 13 loop address</v>
      </c>
      <c r="B74" s="208" t="str">
        <f>'SC_Loop 1'!B74</f>
        <v>12 zones fire alarm control panel connected to loop</v>
      </c>
      <c r="C74" s="97"/>
      <c r="D74" s="20">
        <f>'SC_Loop 1'!D74</f>
        <v>1.8629999999999999E-3</v>
      </c>
      <c r="E74" s="57">
        <f t="shared" si="2"/>
        <v>0</v>
      </c>
      <c r="F74" s="199">
        <f t="shared" si="19"/>
        <v>0</v>
      </c>
      <c r="G74" s="20">
        <f>'SC_Loop 1'!G74</f>
        <v>1.8600000000000001E-3</v>
      </c>
      <c r="H74" s="57">
        <f t="shared" si="3"/>
        <v>0</v>
      </c>
      <c r="I74" s="49"/>
      <c r="J74" s="49"/>
      <c r="K74" s="49"/>
      <c r="L74" s="49"/>
      <c r="M74" s="106" t="str">
        <f>IF(C75&lt;&gt;0,13*C75," ")</f>
        <v xml:space="preserve"> </v>
      </c>
    </row>
    <row r="75" spans="1:15" ht="38.5" thickBot="1" x14ac:dyDescent="0.35">
      <c r="A75" s="115" t="str">
        <f>'SC_Loop 1'!A75</f>
        <v>TPLD-100 (CCD-103) = 7 loop address</v>
      </c>
      <c r="B75" s="208" t="str">
        <f>'SC_Loop 1'!B75</f>
        <v>Extinguishing control panel connected to loop</v>
      </c>
      <c r="C75" s="97"/>
      <c r="D75" s="171">
        <f>'SC_Loop 1'!D75</f>
        <v>1.8629999999999999E-3</v>
      </c>
      <c r="E75" s="111">
        <f t="shared" si="2"/>
        <v>0</v>
      </c>
      <c r="F75" s="199">
        <f t="shared" si="19"/>
        <v>0</v>
      </c>
      <c r="G75" s="171">
        <f>'SC_Loop 1'!G75</f>
        <v>1.8600000000000001E-3</v>
      </c>
      <c r="H75" s="111">
        <f t="shared" si="3"/>
        <v>0</v>
      </c>
      <c r="I75" s="39"/>
      <c r="J75" s="39"/>
      <c r="K75" s="39"/>
      <c r="L75" s="121"/>
      <c r="M75" s="112" t="str">
        <f>IF(C75&lt;&gt;0,7*C75," ")</f>
        <v xml:space="preserve"> </v>
      </c>
    </row>
    <row r="76" spans="1:15" s="7" customFormat="1" ht="13.5" thickBot="1" x14ac:dyDescent="0.35">
      <c r="A76" s="15" t="s">
        <v>8</v>
      </c>
      <c r="B76" s="205"/>
      <c r="C76" s="62">
        <f>SUM(C15:C69)+SUM(M72:M75)</f>
        <v>0</v>
      </c>
      <c r="D76" s="213"/>
      <c r="E76" s="59">
        <f>SUM(E15:E75)</f>
        <v>0</v>
      </c>
      <c r="F76" s="61">
        <f>SUM(F15:F69)</f>
        <v>0</v>
      </c>
      <c r="G76" s="212"/>
      <c r="H76" s="59">
        <f t="shared" ref="H76:M76" si="20">SUM(H15:H75)</f>
        <v>0</v>
      </c>
      <c r="I76" s="59">
        <f t="shared" si="20"/>
        <v>0</v>
      </c>
      <c r="J76" s="62">
        <f t="shared" si="20"/>
        <v>0</v>
      </c>
      <c r="K76" s="62">
        <f t="shared" si="20"/>
        <v>0</v>
      </c>
      <c r="L76" s="62">
        <f t="shared" si="20"/>
        <v>0</v>
      </c>
      <c r="M76" s="122">
        <f t="shared" si="20"/>
        <v>0</v>
      </c>
      <c r="O76"/>
    </row>
    <row r="77" spans="1:15" s="7" customFormat="1" ht="13" x14ac:dyDescent="0.3">
      <c r="C77" s="102"/>
      <c r="D77" s="103"/>
      <c r="E77" s="104"/>
      <c r="F77" s="105"/>
      <c r="G77" s="104"/>
      <c r="H77" s="104"/>
      <c r="I77" s="104"/>
      <c r="J77" s="104"/>
      <c r="K77" s="104"/>
      <c r="L77" s="102"/>
      <c r="M77" s="102"/>
    </row>
    <row r="78" spans="1:15" ht="14.4" customHeight="1" thickBot="1" x14ac:dyDescent="0.35">
      <c r="F78" s="26"/>
      <c r="L78" s="130" t="str">
        <f>IF($M$76&gt;250,"Error: The Loop cannot contain more than 250 addresses","")</f>
        <v/>
      </c>
      <c r="O78" s="7"/>
    </row>
    <row r="79" spans="1:15" ht="14.4" customHeight="1" thickBot="1" x14ac:dyDescent="0.35">
      <c r="A79" s="15" t="s">
        <v>136</v>
      </c>
      <c r="B79" s="113"/>
      <c r="C79" s="114"/>
      <c r="D79" s="26"/>
    </row>
    <row r="80" spans="1:15" ht="14.4" customHeight="1" x14ac:dyDescent="0.3">
      <c r="A80" s="96" t="s">
        <v>137</v>
      </c>
      <c r="B80" s="120">
        <v>1.72E-2</v>
      </c>
      <c r="C80" s="117" t="s">
        <v>138</v>
      </c>
      <c r="D80" s="26"/>
    </row>
    <row r="81" spans="1:12" ht="14.4" customHeight="1" x14ac:dyDescent="0.3">
      <c r="A81" s="21" t="s">
        <v>139</v>
      </c>
      <c r="B81" s="119">
        <f>E76</f>
        <v>0</v>
      </c>
      <c r="C81" s="95" t="s">
        <v>9</v>
      </c>
      <c r="D81" s="26"/>
    </row>
    <row r="82" spans="1:12" ht="14.4" customHeight="1" x14ac:dyDescent="0.3">
      <c r="A82" s="21" t="s">
        <v>140</v>
      </c>
      <c r="B82" s="119">
        <f>H76-I76</f>
        <v>0</v>
      </c>
      <c r="C82" s="95" t="s">
        <v>9</v>
      </c>
      <c r="D82" s="26"/>
    </row>
    <row r="83" spans="1:12" ht="14.4" customHeight="1" x14ac:dyDescent="0.3">
      <c r="A83" s="21" t="s">
        <v>141</v>
      </c>
      <c r="B83" s="119">
        <f>I76</f>
        <v>0</v>
      </c>
      <c r="C83" s="95" t="s">
        <v>9</v>
      </c>
      <c r="D83" s="26"/>
    </row>
    <row r="84" spans="1:12" ht="14.4" customHeight="1" x14ac:dyDescent="0.3">
      <c r="A84" s="21" t="s">
        <v>142</v>
      </c>
      <c r="B84" s="119">
        <f>SUM(B82:B83)</f>
        <v>0</v>
      </c>
      <c r="C84" s="95" t="s">
        <v>9</v>
      </c>
      <c r="D84" s="26"/>
    </row>
    <row r="85" spans="1:12" ht="14.4" customHeight="1" thickBot="1" x14ac:dyDescent="0.35">
      <c r="A85" s="22" t="s">
        <v>143</v>
      </c>
      <c r="B85" s="107">
        <v>6.9</v>
      </c>
      <c r="C85" s="28" t="s">
        <v>144</v>
      </c>
      <c r="D85" s="26"/>
    </row>
    <row r="86" spans="1:12" ht="14.4" customHeight="1" thickBot="1" x14ac:dyDescent="0.35">
      <c r="A86" s="13"/>
      <c r="E86" s="26"/>
    </row>
    <row r="87" spans="1:12" ht="14.4" customHeight="1" thickBot="1" x14ac:dyDescent="0.35">
      <c r="A87" s="8" t="s">
        <v>154</v>
      </c>
      <c r="B87" s="127"/>
      <c r="C87" s="127"/>
      <c r="D87" s="127"/>
      <c r="E87" s="139"/>
      <c r="F87" s="127"/>
      <c r="G87" s="127"/>
      <c r="H87" s="127"/>
      <c r="I87" s="127"/>
      <c r="J87" s="127"/>
      <c r="K87" s="128"/>
      <c r="L87" s="131" t="s">
        <v>150</v>
      </c>
    </row>
    <row r="88" spans="1:12" ht="14.4" customHeight="1" x14ac:dyDescent="0.25">
      <c r="A88" s="145" t="s">
        <v>155</v>
      </c>
      <c r="B88" s="41">
        <v>1000</v>
      </c>
      <c r="C88" s="41">
        <v>1500</v>
      </c>
      <c r="D88" s="41"/>
      <c r="E88" s="41">
        <v>2000</v>
      </c>
      <c r="F88" s="41"/>
      <c r="G88" s="41"/>
      <c r="H88" s="41">
        <v>2500</v>
      </c>
      <c r="I88" s="41">
        <v>3000</v>
      </c>
      <c r="J88" s="141">
        <v>3500</v>
      </c>
      <c r="K88" s="132" t="s">
        <v>151</v>
      </c>
    </row>
    <row r="89" spans="1:12" ht="14.4" customHeight="1" x14ac:dyDescent="0.25">
      <c r="A89" s="48" t="s">
        <v>156</v>
      </c>
      <c r="B89" s="134" t="e">
        <f>((($B$80*B88)/B91)*2)</f>
        <v>#DIV/0!</v>
      </c>
      <c r="C89" s="134" t="e">
        <f t="shared" ref="C89" si="21">((($B$80*C88)/C91)*2)</f>
        <v>#DIV/0!</v>
      </c>
      <c r="D89" s="134"/>
      <c r="E89" s="134" t="e">
        <f t="shared" ref="E89:J89" si="22">((($B$80*E88)/E91)*2)</f>
        <v>#DIV/0!</v>
      </c>
      <c r="F89" s="134" t="e">
        <f t="shared" si="22"/>
        <v>#DIV/0!</v>
      </c>
      <c r="G89" s="134"/>
      <c r="H89" s="134" t="e">
        <f t="shared" si="22"/>
        <v>#DIV/0!</v>
      </c>
      <c r="I89" s="134" t="e">
        <f t="shared" si="22"/>
        <v>#DIV/0!</v>
      </c>
      <c r="J89" s="134" t="e">
        <f t="shared" si="22"/>
        <v>#DIV/0!</v>
      </c>
      <c r="K89" s="133" t="s">
        <v>152</v>
      </c>
    </row>
    <row r="90" spans="1:12" ht="14.4" customHeight="1" thickBot="1" x14ac:dyDescent="0.3">
      <c r="A90" s="144" t="s">
        <v>157</v>
      </c>
      <c r="B90" s="134" t="e">
        <f>B89/2</f>
        <v>#DIV/0!</v>
      </c>
      <c r="C90" s="134" t="e">
        <f t="shared" ref="C90" si="23">C89/2</f>
        <v>#DIV/0!</v>
      </c>
      <c r="D90" s="134"/>
      <c r="E90" s="134" t="e">
        <f t="shared" ref="E90:F90" si="24">E89/2</f>
        <v>#DIV/0!</v>
      </c>
      <c r="F90" s="134" t="e">
        <f t="shared" si="24"/>
        <v>#DIV/0!</v>
      </c>
      <c r="G90" s="134"/>
      <c r="H90" s="134" t="e">
        <f>H89/2</f>
        <v>#DIV/0!</v>
      </c>
      <c r="I90" s="134" t="e">
        <f>I89/2</f>
        <v>#DIV/0!</v>
      </c>
      <c r="J90" s="134" t="e">
        <f>J89/2</f>
        <v>#DIV/0!</v>
      </c>
      <c r="K90" s="143" t="s">
        <v>152</v>
      </c>
    </row>
    <row r="91" spans="1:12" ht="14.4" customHeight="1" thickBot="1" x14ac:dyDescent="0.35">
      <c r="A91" s="15" t="s">
        <v>158</v>
      </c>
      <c r="B91" s="168" t="e">
        <f t="shared" ref="B91:J91" si="25">IF((($B$80*B$88)/(($B$85-((SUM($C$16,$C$18,$C$20,$C$22)*0.155)*$B$84))/$B$84))&lt;0.5,0.5,(($B$80*B$88)/(($B$85-((SUM($C$16,$C$18,$C$20,$C$22)*0.155)*$B$84))/$B$84)))</f>
        <v>#DIV/0!</v>
      </c>
      <c r="C91" s="168" t="e">
        <f t="shared" si="25"/>
        <v>#DIV/0!</v>
      </c>
      <c r="D91" s="168" t="e">
        <f t="shared" si="25"/>
        <v>#DIV/0!</v>
      </c>
      <c r="E91" s="168" t="e">
        <f t="shared" si="25"/>
        <v>#DIV/0!</v>
      </c>
      <c r="F91" s="168" t="e">
        <f t="shared" si="25"/>
        <v>#DIV/0!</v>
      </c>
      <c r="G91" s="168" t="e">
        <f t="shared" si="25"/>
        <v>#DIV/0!</v>
      </c>
      <c r="H91" s="168" t="e">
        <f t="shared" si="25"/>
        <v>#DIV/0!</v>
      </c>
      <c r="I91" s="168" t="e">
        <f t="shared" si="25"/>
        <v>#DIV/0!</v>
      </c>
      <c r="J91" s="168" t="e">
        <f t="shared" si="25"/>
        <v>#DIV/0!</v>
      </c>
      <c r="K91" s="94" t="s">
        <v>130</v>
      </c>
    </row>
    <row r="92" spans="1:12" ht="14.4" customHeight="1" thickBot="1" x14ac:dyDescent="0.35">
      <c r="A92" s="13"/>
      <c r="E92" s="26"/>
    </row>
    <row r="93" spans="1:12" ht="14.4" customHeight="1" thickBot="1" x14ac:dyDescent="0.35">
      <c r="A93" s="8" t="s">
        <v>159</v>
      </c>
      <c r="B93" s="127"/>
      <c r="C93" s="127"/>
      <c r="D93" s="127"/>
      <c r="E93" s="139"/>
      <c r="F93" s="127"/>
      <c r="G93" s="127"/>
      <c r="H93" s="127"/>
      <c r="I93" s="127"/>
      <c r="J93" s="127"/>
      <c r="K93" s="128"/>
      <c r="L93" s="131" t="s">
        <v>153</v>
      </c>
    </row>
    <row r="94" spans="1:12" ht="14.4" customHeight="1" x14ac:dyDescent="0.25">
      <c r="A94" s="132" t="s">
        <v>160</v>
      </c>
      <c r="B94" s="37">
        <v>0.5</v>
      </c>
      <c r="C94" s="41">
        <v>0.75</v>
      </c>
      <c r="D94" s="41"/>
      <c r="E94" s="41">
        <v>1</v>
      </c>
      <c r="F94" s="41"/>
      <c r="G94" s="41"/>
      <c r="H94" s="41">
        <v>1.5</v>
      </c>
      <c r="I94" s="41">
        <v>2.5</v>
      </c>
      <c r="J94" s="141">
        <v>4</v>
      </c>
      <c r="K94" s="132" t="s">
        <v>130</v>
      </c>
    </row>
    <row r="95" spans="1:12" ht="14.4" customHeight="1" x14ac:dyDescent="0.25">
      <c r="A95" s="140" t="s">
        <v>156</v>
      </c>
      <c r="B95" s="134" t="e">
        <f t="shared" ref="B95:J95" si="26">$B$80*B97/B94*2</f>
        <v>#DIV/0!</v>
      </c>
      <c r="C95" s="134" t="e">
        <f t="shared" si="26"/>
        <v>#DIV/0!</v>
      </c>
      <c r="D95" s="134"/>
      <c r="E95" s="134" t="e">
        <f t="shared" ref="E95" si="27">$B$80*E97/E94*2</f>
        <v>#DIV/0!</v>
      </c>
      <c r="F95" s="134" t="e">
        <f t="shared" si="26"/>
        <v>#DIV/0!</v>
      </c>
      <c r="G95" s="134"/>
      <c r="H95" s="134" t="e">
        <f t="shared" si="26"/>
        <v>#DIV/0!</v>
      </c>
      <c r="I95" s="134" t="e">
        <f t="shared" si="26"/>
        <v>#DIV/0!</v>
      </c>
      <c r="J95" s="134" t="e">
        <f t="shared" si="26"/>
        <v>#DIV/0!</v>
      </c>
      <c r="K95" s="133" t="s">
        <v>152</v>
      </c>
    </row>
    <row r="96" spans="1:12" ht="14.4" customHeight="1" thickBot="1" x14ac:dyDescent="0.3">
      <c r="A96" s="142" t="s">
        <v>157</v>
      </c>
      <c r="B96" s="134" t="e">
        <f>B95/2</f>
        <v>#DIV/0!</v>
      </c>
      <c r="C96" s="134" t="e">
        <f t="shared" ref="C96" si="28">C95/2</f>
        <v>#DIV/0!</v>
      </c>
      <c r="D96" s="134"/>
      <c r="E96" s="134" t="e">
        <f t="shared" ref="E96:F96" si="29">E95/2</f>
        <v>#DIV/0!</v>
      </c>
      <c r="F96" s="134" t="e">
        <f t="shared" si="29"/>
        <v>#DIV/0!</v>
      </c>
      <c r="G96" s="134"/>
      <c r="H96" s="134" t="e">
        <f>H95/2</f>
        <v>#DIV/0!</v>
      </c>
      <c r="I96" s="134" t="e">
        <f>I95/2</f>
        <v>#DIV/0!</v>
      </c>
      <c r="J96" s="134" t="e">
        <f>J95/2</f>
        <v>#DIV/0!</v>
      </c>
      <c r="K96" s="143" t="s">
        <v>152</v>
      </c>
    </row>
    <row r="97" spans="1:13" ht="14.4" customHeight="1" thickBot="1" x14ac:dyDescent="0.35">
      <c r="A97" s="94" t="s">
        <v>161</v>
      </c>
      <c r="B97" s="168" t="e">
        <f t="shared" ref="B97:J97" si="30">IF((((($B$85-((SUM($C$16,$C$18,$C$20,$C$22)*0.155)*$B$84))/$B$84)*B$94)/$B$80)&gt;3500,3500,(((($B$85-((SUM($C$16,$C$18,$C$20,$C$22)*0.155)*$B$84))/$B$84)*B$94)/$B$80))</f>
        <v>#DIV/0!</v>
      </c>
      <c r="C97" s="168" t="e">
        <f t="shared" si="30"/>
        <v>#DIV/0!</v>
      </c>
      <c r="D97" s="168" t="e">
        <f t="shared" si="30"/>
        <v>#DIV/0!</v>
      </c>
      <c r="E97" s="168" t="e">
        <f t="shared" si="30"/>
        <v>#DIV/0!</v>
      </c>
      <c r="F97" s="168" t="e">
        <f t="shared" si="30"/>
        <v>#DIV/0!</v>
      </c>
      <c r="G97" s="168" t="e">
        <f t="shared" si="30"/>
        <v>#DIV/0!</v>
      </c>
      <c r="H97" s="168" t="e">
        <f t="shared" si="30"/>
        <v>#DIV/0!</v>
      </c>
      <c r="I97" s="168" t="e">
        <f t="shared" si="30"/>
        <v>#DIV/0!</v>
      </c>
      <c r="J97" s="168" t="e">
        <f t="shared" si="30"/>
        <v>#DIV/0!</v>
      </c>
      <c r="K97" s="94" t="s">
        <v>151</v>
      </c>
    </row>
    <row r="98" spans="1:13" ht="14.4" customHeight="1" thickBot="1" x14ac:dyDescent="0.35">
      <c r="A98" s="13"/>
      <c r="E98" s="26"/>
    </row>
    <row r="99" spans="1:13" ht="14.4" customHeight="1" thickBot="1" x14ac:dyDescent="0.35">
      <c r="A99" s="8" t="s">
        <v>162</v>
      </c>
      <c r="B99" s="127"/>
      <c r="C99" s="128"/>
      <c r="D99" s="26"/>
    </row>
    <row r="100" spans="1:13" ht="14.4" customHeight="1" x14ac:dyDescent="0.3">
      <c r="A100" s="96" t="s">
        <v>163</v>
      </c>
      <c r="B100" s="41">
        <f>$B$8</f>
        <v>1.5</v>
      </c>
      <c r="C100" s="98" t="s">
        <v>130</v>
      </c>
      <c r="D100" s="26"/>
      <c r="G100" s="130" t="str">
        <f>IF(B100&lt;0.5,"Error: The Minimum Cable Seccion in the Loop is 0,5 mm2","")</f>
        <v/>
      </c>
    </row>
    <row r="101" spans="1:13" ht="14.4" customHeight="1" x14ac:dyDescent="0.3">
      <c r="A101" s="21" t="s">
        <v>164</v>
      </c>
      <c r="B101" s="49">
        <f>$B$9</f>
        <v>1000</v>
      </c>
      <c r="C101" s="95" t="s">
        <v>130</v>
      </c>
      <c r="D101" s="26"/>
      <c r="G101" s="130" t="str">
        <f>IF(B101&gt;3500,"Error: The Maximum Lenght in the Line is 3500 meters","")</f>
        <v/>
      </c>
    </row>
    <row r="102" spans="1:13" ht="14.4" customHeight="1" x14ac:dyDescent="0.3">
      <c r="A102" s="21" t="s">
        <v>165</v>
      </c>
      <c r="B102" s="136">
        <f>((($B$80*B101)/B100)*2)+(SUM(C16,C18,C20,C22,)*0.155)</f>
        <v>22.933333333333334</v>
      </c>
      <c r="C102" s="106" t="s">
        <v>152</v>
      </c>
      <c r="D102" s="26"/>
    </row>
    <row r="103" spans="1:13" ht="14.4" customHeight="1" thickBot="1" x14ac:dyDescent="0.35">
      <c r="A103" s="22" t="s">
        <v>166</v>
      </c>
      <c r="B103" s="135">
        <f>B102/2</f>
        <v>11.466666666666667</v>
      </c>
      <c r="C103" s="108" t="s">
        <v>152</v>
      </c>
      <c r="D103" s="26"/>
    </row>
    <row r="104" spans="1:13" ht="14.4" customHeight="1" thickBot="1" x14ac:dyDescent="0.35">
      <c r="A104" s="146" t="s">
        <v>167</v>
      </c>
      <c r="B104" s="147">
        <f>$B$85/$B$103</f>
        <v>0.6017441860465117</v>
      </c>
      <c r="C104" s="147" t="s">
        <v>9</v>
      </c>
      <c r="D104" s="26"/>
    </row>
    <row r="105" spans="1:13" ht="14.4" customHeight="1" thickBot="1" x14ac:dyDescent="0.35">
      <c r="A105" s="8" t="s">
        <v>133</v>
      </c>
      <c r="B105" s="127"/>
      <c r="C105" s="128"/>
      <c r="D105" s="26"/>
    </row>
    <row r="106" spans="1:13" ht="14.4" customHeight="1" thickBot="1" x14ac:dyDescent="0.35">
      <c r="A106" s="8" t="s">
        <v>134</v>
      </c>
      <c r="B106" s="128"/>
      <c r="C106" s="138" t="str">
        <f>IF($B$84&gt;0.4,"FAIL",IF($B$104&gt;=$B$84,"OK","FAIL"))</f>
        <v>OK</v>
      </c>
      <c r="D106" s="26"/>
      <c r="G106" s="130" t="str">
        <f>IF($B$84&gt;0.4,"Error: The Loop Current is upper that Maximum Current allowed",IF($B$104&lt;$B$84,"Error: The Loop Current is upper that Maximum Current allowed",""))</f>
        <v/>
      </c>
    </row>
    <row r="107" spans="1:13" ht="14.4" customHeight="1" thickBot="1" x14ac:dyDescent="0.35">
      <c r="A107" s="8" t="s">
        <v>135</v>
      </c>
      <c r="B107" s="128"/>
      <c r="C107" s="137" t="str">
        <f>IF($M$76&lt;=250,"OK","FAIL")</f>
        <v>OK</v>
      </c>
      <c r="D107" s="26"/>
      <c r="G107" s="130" t="str">
        <f>IF($M$76&gt;250,"Error: The Loop cannot contain more than 250 addresses","")</f>
        <v/>
      </c>
    </row>
    <row r="108" spans="1:13" ht="14.4" customHeight="1" x14ac:dyDescent="0.3">
      <c r="A108" s="13"/>
      <c r="B108" s="13"/>
      <c r="F108" s="26"/>
    </row>
    <row r="110" spans="1:13" ht="27" customHeight="1" x14ac:dyDescent="0.25">
      <c r="A110" s="225" t="s">
        <v>13</v>
      </c>
      <c r="B110" s="225"/>
      <c r="C110" s="225"/>
      <c r="D110" s="225"/>
      <c r="E110" s="225"/>
      <c r="F110" s="225"/>
      <c r="G110" s="225"/>
      <c r="H110" s="225"/>
      <c r="I110" s="225"/>
      <c r="J110" s="225"/>
      <c r="K110" s="225"/>
      <c r="L110" s="225"/>
      <c r="M110" s="225"/>
    </row>
  </sheetData>
  <sheetProtection algorithmName="SHA-512" hashValue="+lpJQK9Q2rhxAreRxHb+PQKmmsSYLwc2tbgzsOJgvlsVe9SZlOHhLs3PsPS+eHs6afZJUK8o6LrASyjUSuIvnQ==" saltValue="RBiWjccxDKChoZLBKhcgtw==" spinCount="100000" sheet="1" sort="0" autoFilter="0" pivotTables="0"/>
  <mergeCells count="5">
    <mergeCell ref="K7:L7"/>
    <mergeCell ref="H8:J9"/>
    <mergeCell ref="K8:L8"/>
    <mergeCell ref="K9:L9"/>
    <mergeCell ref="A110:M110"/>
  </mergeCells>
  <conditionalFormatting sqref="B89:J90">
    <cfRule type="containsErrors" dxfId="67" priority="5">
      <formula>ISERROR(B89)</formula>
    </cfRule>
  </conditionalFormatting>
  <conditionalFormatting sqref="B91:J91">
    <cfRule type="containsErrors" dxfId="66" priority="3">
      <formula>ISERROR(B91)</formula>
    </cfRule>
  </conditionalFormatting>
  <conditionalFormatting sqref="B95:J96">
    <cfRule type="containsErrors" dxfId="65" priority="4">
      <formula>ISERROR(B95)</formula>
    </cfRule>
  </conditionalFormatting>
  <conditionalFormatting sqref="B97:J97">
    <cfRule type="containsErrors" dxfId="64" priority="1">
      <formula>ISERROR(B97)</formula>
    </cfRule>
  </conditionalFormatting>
  <conditionalFormatting sqref="C106:C107">
    <cfRule type="cellIs" dxfId="63" priority="6" stopIfTrue="1" operator="equal">
      <formula>"FAIL"</formula>
    </cfRule>
  </conditionalFormatting>
  <conditionalFormatting sqref="K15:K75">
    <cfRule type="cellIs" dxfId="62" priority="8" operator="equal">
      <formula>0</formula>
    </cfRule>
  </conditionalFormatting>
  <conditionalFormatting sqref="M8:M9">
    <cfRule type="cellIs" dxfId="61" priority="24" stopIfTrue="1" operator="equal">
      <formula>"FAIL"</formula>
    </cfRule>
  </conditionalFormatting>
  <conditionalFormatting sqref="O34:O35 O56 O58 O60 O62 O64:O65">
    <cfRule type="expression" dxfId="60" priority="11" stopIfTrue="1">
      <formula>$B$38&gt;2</formula>
    </cfRule>
    <cfRule type="expression" dxfId="59" priority="12" stopIfTrue="1">
      <formula>$B$38&lt;3</formula>
    </cfRule>
  </conditionalFormatting>
  <conditionalFormatting sqref="O35:O36">
    <cfRule type="expression" dxfId="58" priority="17" stopIfTrue="1">
      <formula>$B$37&gt;4</formula>
    </cfRule>
    <cfRule type="expression" dxfId="57" priority="18" stopIfTrue="1">
      <formula>$B$37&lt;5</formula>
    </cfRule>
  </conditionalFormatting>
  <conditionalFormatting sqref="O37:O43">
    <cfRule type="expression" dxfId="56" priority="13" stopIfTrue="1">
      <formula>$B$38&gt;2</formula>
    </cfRule>
    <cfRule type="expression" dxfId="55" priority="14" stopIfTrue="1">
      <formula>$B$38&lt;3</formula>
    </cfRule>
  </conditionalFormatting>
  <conditionalFormatting sqref="O54">
    <cfRule type="expression" dxfId="54" priority="9" stopIfTrue="1">
      <formula>$B$38&gt;2</formula>
    </cfRule>
    <cfRule type="expression" dxfId="53" priority="10" stopIfTrue="1">
      <formula>$B$38&lt;3</formula>
    </cfRule>
  </conditionalFormatting>
  <conditionalFormatting sqref="O68">
    <cfRule type="expression" dxfId="52" priority="15" stopIfTrue="1">
      <formula>$B$37&gt;4</formula>
    </cfRule>
    <cfRule type="expression" dxfId="51" priority="16" stopIfTrue="1">
      <formula>$B$37&lt;5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3B99F3D-7B05-487D-83A8-09842AE98171}">
          <x14:formula1>
            <xm:f>Datos!$F$16:$F$21</xm:f>
          </x14:formula1>
          <xm:sqref>B8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9BC19-BCA7-4F70-8367-CFDCCF0186BA}">
  <sheetPr codeName="Hoja8">
    <pageSetUpPr fitToPage="1"/>
  </sheetPr>
  <dimension ref="A1:O110"/>
  <sheetViews>
    <sheetView zoomScale="120" zoomScaleNormal="120" workbookViewId="0">
      <pane ySplit="14" topLeftCell="A15" activePane="bottomLeft" state="frozen"/>
      <selection activeCell="C15" sqref="C15"/>
      <selection pane="bottomLeft" activeCell="C15" sqref="C15"/>
    </sheetView>
  </sheetViews>
  <sheetFormatPr baseColWidth="10" defaultRowHeight="12.5" x14ac:dyDescent="0.25"/>
  <cols>
    <col min="1" max="1" width="31.1796875" customWidth="1"/>
    <col min="2" max="2" width="18.90625" customWidth="1"/>
    <col min="3" max="3" width="10.6328125" customWidth="1"/>
    <col min="4" max="4" width="11.08984375" hidden="1" customWidth="1"/>
    <col min="5" max="5" width="12.81640625" bestFit="1" customWidth="1"/>
    <col min="6" max="7" width="10.6328125" hidden="1" customWidth="1"/>
    <col min="8" max="8" width="10.54296875" bestFit="1" customWidth="1"/>
    <col min="9" max="9" width="10.6328125" customWidth="1"/>
    <col min="10" max="10" width="5.54296875" bestFit="1" customWidth="1"/>
    <col min="11" max="11" width="7" customWidth="1"/>
    <col min="12" max="12" width="6.453125" customWidth="1"/>
    <col min="13" max="13" width="6.54296875" customWidth="1"/>
    <col min="15" max="17" width="11.54296875" customWidth="1"/>
  </cols>
  <sheetData>
    <row r="1" spans="1:15" x14ac:dyDescent="0.25">
      <c r="I1" s="1"/>
      <c r="J1" s="2"/>
      <c r="K1" s="2"/>
      <c r="L1" s="2"/>
    </row>
    <row r="2" spans="1:15" x14ac:dyDescent="0.25">
      <c r="I2" s="1"/>
      <c r="J2" s="2"/>
      <c r="K2" s="2"/>
      <c r="L2" s="2"/>
    </row>
    <row r="3" spans="1:15" ht="14.5" x14ac:dyDescent="0.35">
      <c r="A3" s="3"/>
      <c r="B3" s="3"/>
      <c r="I3" s="1"/>
      <c r="J3" s="2"/>
      <c r="K3" s="2"/>
      <c r="L3" s="2"/>
    </row>
    <row r="4" spans="1:15" ht="14.5" x14ac:dyDescent="0.35">
      <c r="A4" s="3"/>
      <c r="B4" s="3"/>
      <c r="I4" s="1"/>
      <c r="J4" s="2"/>
      <c r="K4" s="2"/>
      <c r="L4" s="2"/>
    </row>
    <row r="5" spans="1:15" s="7" customFormat="1" ht="13.5" thickBot="1" x14ac:dyDescent="0.35">
      <c r="A5" s="4" t="str">
        <f>'System Calculation'!A7</f>
        <v>SYSTEM CALCULATOR DETNOV CAD-150 EXCEL TOOL</v>
      </c>
      <c r="B5" s="4"/>
      <c r="C5" s="4"/>
      <c r="D5" s="4"/>
      <c r="E5" s="4"/>
      <c r="F5" s="4"/>
      <c r="G5" s="4"/>
      <c r="H5" s="4"/>
      <c r="I5" s="6"/>
      <c r="J5" s="5"/>
      <c r="K5" s="5"/>
      <c r="L5" s="5"/>
      <c r="M5" s="12" t="str">
        <f>'System Calculation'!J7</f>
        <v>SC 116 en 2019 i</v>
      </c>
    </row>
    <row r="6" spans="1:15" s="7" customFormat="1" ht="13.5" thickBot="1" x14ac:dyDescent="0.35">
      <c r="I6" s="29"/>
      <c r="J6" s="30"/>
      <c r="K6" s="30"/>
      <c r="L6" s="30"/>
      <c r="M6" s="31"/>
    </row>
    <row r="7" spans="1:15" s="7" customFormat="1" ht="13.5" thickBot="1" x14ac:dyDescent="0.35">
      <c r="A7" s="15" t="s">
        <v>62</v>
      </c>
      <c r="B7" s="99"/>
      <c r="C7" s="100"/>
      <c r="I7" s="29"/>
      <c r="K7" s="226" t="s">
        <v>133</v>
      </c>
      <c r="L7" s="230"/>
      <c r="M7" s="118"/>
      <c r="N7" s="31"/>
    </row>
    <row r="8" spans="1:15" s="7" customFormat="1" ht="13.5" thickBot="1" x14ac:dyDescent="0.35">
      <c r="A8" s="96" t="s">
        <v>128</v>
      </c>
      <c r="B8" s="203">
        <v>1.5</v>
      </c>
      <c r="C8" s="222">
        <f>VLOOKUP($B$8,Datos!$F$16:$G$21,2,FALSE)</f>
        <v>16</v>
      </c>
      <c r="D8" s="207"/>
      <c r="E8" s="207"/>
      <c r="F8" s="204"/>
      <c r="G8" s="13"/>
      <c r="H8" s="231" t="str">
        <f>IF(B9&gt;3500,"Error: The Maximum Lenght in the Line is 3500 m","")</f>
        <v/>
      </c>
      <c r="I8" s="231"/>
      <c r="J8" s="232"/>
      <c r="K8" s="226" t="s">
        <v>134</v>
      </c>
      <c r="L8" s="227"/>
      <c r="M8" s="138" t="str">
        <f>IF($B$84&gt;0.4,"FAIL",IF($B$104&gt;=$B$84,"OK","FAIL"))</f>
        <v>OK</v>
      </c>
      <c r="O8" s="130" t="str">
        <f>IF($B$84&gt;0.4,"Error: The Loop Current is upper that Maximum Current allowed",IF($B$104&lt;$B$84,"Error: The Loop Current is upper that Maximum Current allowed",""))</f>
        <v/>
      </c>
    </row>
    <row r="9" spans="1:15" s="7" customFormat="1" ht="13.5" thickBot="1" x14ac:dyDescent="0.35">
      <c r="A9" s="22" t="s">
        <v>129</v>
      </c>
      <c r="B9" s="101">
        <v>1000</v>
      </c>
      <c r="C9" s="28" t="s">
        <v>131</v>
      </c>
      <c r="D9" s="13"/>
      <c r="E9" s="13"/>
      <c r="F9" s="13"/>
      <c r="G9" s="13"/>
      <c r="H9" s="231"/>
      <c r="I9" s="231"/>
      <c r="J9" s="232"/>
      <c r="K9" s="228" t="s">
        <v>135</v>
      </c>
      <c r="L9" s="229"/>
      <c r="M9" s="137" t="str">
        <f>IF($M$76&lt;=250,"OK","FAIL")</f>
        <v>OK</v>
      </c>
      <c r="O9" s="130" t="str">
        <f>IF($M$76&gt;250,"Error: The Loop cannot contain more than 250 addresses","")</f>
        <v/>
      </c>
    </row>
    <row r="10" spans="1:15" s="7" customFormat="1" ht="13" x14ac:dyDescent="0.3">
      <c r="A10" s="129" t="s">
        <v>149</v>
      </c>
      <c r="B10" s="129"/>
      <c r="I10" s="29"/>
      <c r="J10" s="30"/>
      <c r="K10" s="30"/>
      <c r="L10" s="30"/>
      <c r="M10" s="31"/>
    </row>
    <row r="11" spans="1:15" s="7" customFormat="1" ht="13" x14ac:dyDescent="0.3">
      <c r="A11" s="129"/>
      <c r="B11" s="129"/>
      <c r="I11" s="29"/>
      <c r="J11" s="30"/>
      <c r="K11" s="30"/>
      <c r="L11" s="30"/>
      <c r="M11" s="31"/>
    </row>
    <row r="12" spans="1:15" ht="13.5" thickBot="1" x14ac:dyDescent="0.35">
      <c r="C12" s="11" t="s">
        <v>10</v>
      </c>
      <c r="D12" s="11" t="s">
        <v>10</v>
      </c>
    </row>
    <row r="13" spans="1:15" ht="13.5" thickBot="1" x14ac:dyDescent="0.35">
      <c r="A13" s="8" t="s">
        <v>176</v>
      </c>
      <c r="B13" s="9"/>
      <c r="C13" s="9"/>
      <c r="D13" s="9"/>
      <c r="E13" s="9"/>
      <c r="F13" s="9"/>
      <c r="G13" s="9"/>
      <c r="H13" s="9"/>
      <c r="I13" s="127"/>
      <c r="J13" s="127"/>
      <c r="K13" s="127"/>
      <c r="L13" s="127"/>
      <c r="M13" s="128"/>
    </row>
    <row r="14" spans="1:15" s="7" customFormat="1" ht="13.5" thickBot="1" x14ac:dyDescent="0.35">
      <c r="A14" s="215" t="s">
        <v>0</v>
      </c>
      <c r="B14" s="216" t="s">
        <v>223</v>
      </c>
      <c r="C14" s="217" t="s">
        <v>1</v>
      </c>
      <c r="D14" s="217" t="s">
        <v>38</v>
      </c>
      <c r="E14" s="217" t="s">
        <v>38</v>
      </c>
      <c r="F14" s="217" t="s">
        <v>109</v>
      </c>
      <c r="G14" s="217" t="s">
        <v>39</v>
      </c>
      <c r="H14" s="217" t="s">
        <v>39</v>
      </c>
      <c r="I14" s="99" t="s">
        <v>132</v>
      </c>
      <c r="J14" s="99" t="s">
        <v>145</v>
      </c>
      <c r="K14" s="99" t="s">
        <v>146</v>
      </c>
      <c r="L14" s="99" t="s">
        <v>147</v>
      </c>
      <c r="M14" s="100" t="s">
        <v>148</v>
      </c>
    </row>
    <row r="15" spans="1:15" ht="25" x14ac:dyDescent="0.25">
      <c r="A15" s="115" t="str">
        <f>'SC_Loop 1'!A15</f>
        <v>DOD-220A</v>
      </c>
      <c r="B15" s="208" t="str">
        <f>'SC_Loop 1'!B15</f>
        <v>Addressable smoke detector</v>
      </c>
      <c r="C15" s="97"/>
      <c r="D15" s="214">
        <f>'SC_Loop 1'!D15</f>
        <v>1.272E-4</v>
      </c>
      <c r="E15" s="116">
        <f>C15*D15</f>
        <v>0</v>
      </c>
      <c r="F15" s="200">
        <f>IF(C15&gt;10,10,C15)</f>
        <v>0</v>
      </c>
      <c r="G15" s="214">
        <f>'SC_Loop 1'!G15</f>
        <v>3.6099999999999999E-3</v>
      </c>
      <c r="H15" s="116">
        <f>F15*G15</f>
        <v>0</v>
      </c>
      <c r="I15" s="41"/>
      <c r="J15" s="41" t="str">
        <f t="shared" ref="J15:J27" si="0">IF(C15&lt;&gt;0,C15," ")</f>
        <v xml:space="preserve"> </v>
      </c>
      <c r="K15" s="41"/>
      <c r="L15" s="41"/>
      <c r="M15" s="117" t="str">
        <f>IF(J15&lt;&gt;0,J15," ")</f>
        <v xml:space="preserve"> </v>
      </c>
    </row>
    <row r="16" spans="1:15" ht="25" x14ac:dyDescent="0.25">
      <c r="A16" s="115" t="str">
        <f>'SC_Loop 1'!A16</f>
        <v>DOD-220A-I</v>
      </c>
      <c r="B16" s="208" t="str">
        <f>'SC_Loop 1'!B16</f>
        <v>Addressable smoke detector with isolator</v>
      </c>
      <c r="C16" s="97"/>
      <c r="D16" s="20">
        <f>'SC_Loop 1'!D16</f>
        <v>1.9580000000000002E-4</v>
      </c>
      <c r="E16" s="57">
        <f>C16*D16</f>
        <v>0</v>
      </c>
      <c r="F16" s="200">
        <f t="shared" ref="F16:F22" si="1">IF(C16&gt;10,10,C16)</f>
        <v>0</v>
      </c>
      <c r="G16" s="20">
        <f>'SC_Loop 1'!G16</f>
        <v>3.7400000000000003E-3</v>
      </c>
      <c r="H16" s="57">
        <f>F16*G16</f>
        <v>0</v>
      </c>
      <c r="I16" s="49"/>
      <c r="J16" s="49" t="str">
        <f t="shared" si="0"/>
        <v xml:space="preserve"> </v>
      </c>
      <c r="K16" s="49"/>
      <c r="L16" s="49"/>
      <c r="M16" s="106" t="str">
        <f>IF(J16&lt;&gt;0,J16," ")</f>
        <v xml:space="preserve"> </v>
      </c>
    </row>
    <row r="17" spans="1:13" ht="25" x14ac:dyDescent="0.25">
      <c r="A17" s="115" t="str">
        <f>'SC_Loop 1'!A17</f>
        <v>DOTD-230A</v>
      </c>
      <c r="B17" s="208" t="str">
        <f>'SC_Loop 1'!B17</f>
        <v>Addressable smoke and heat detector</v>
      </c>
      <c r="C17" s="97"/>
      <c r="D17" s="20">
        <f>'SC_Loop 1'!D17</f>
        <v>1.416E-4</v>
      </c>
      <c r="E17" s="57">
        <f t="shared" ref="E17:E75" si="2">C17*D17</f>
        <v>0</v>
      </c>
      <c r="F17" s="200">
        <f t="shared" si="1"/>
        <v>0</v>
      </c>
      <c r="G17" s="20">
        <f>'SC_Loop 1'!G17</f>
        <v>3.6000000000000003E-3</v>
      </c>
      <c r="H17" s="57">
        <f t="shared" ref="H17:H75" si="3">F17*G17</f>
        <v>0</v>
      </c>
      <c r="I17" s="49"/>
      <c r="J17" s="49" t="str">
        <f t="shared" si="0"/>
        <v xml:space="preserve"> </v>
      </c>
      <c r="K17" s="49"/>
      <c r="L17" s="49"/>
      <c r="M17" s="106" t="str">
        <f t="shared" ref="M17:M70" si="4">IF(J17&lt;&gt;0,J17," ")</f>
        <v xml:space="preserve"> </v>
      </c>
    </row>
    <row r="18" spans="1:13" ht="37.5" x14ac:dyDescent="0.25">
      <c r="A18" s="115" t="str">
        <f>'SC_Loop 1'!A18</f>
        <v>DOTD-230A-I</v>
      </c>
      <c r="B18" s="208" t="str">
        <f>'SC_Loop 1'!B18</f>
        <v>Addressable smoke and heat detector with isolator</v>
      </c>
      <c r="C18" s="97"/>
      <c r="D18" s="20">
        <f>'SC_Loop 1'!D18</f>
        <v>2.1239999999999999E-4</v>
      </c>
      <c r="E18" s="57">
        <f t="shared" si="2"/>
        <v>0</v>
      </c>
      <c r="F18" s="200">
        <f t="shared" si="1"/>
        <v>0</v>
      </c>
      <c r="G18" s="20">
        <f>'SC_Loop 1'!G18</f>
        <v>3.7400000000000003E-3</v>
      </c>
      <c r="H18" s="57">
        <f t="shared" si="3"/>
        <v>0</v>
      </c>
      <c r="I18" s="49"/>
      <c r="J18" s="49" t="str">
        <f t="shared" si="0"/>
        <v xml:space="preserve"> </v>
      </c>
      <c r="K18" s="49"/>
      <c r="L18" s="49"/>
      <c r="M18" s="106" t="str">
        <f t="shared" si="4"/>
        <v xml:space="preserve"> </v>
      </c>
    </row>
    <row r="19" spans="1:13" ht="25" x14ac:dyDescent="0.25">
      <c r="A19" s="115" t="str">
        <f>'SC_Loop 1'!A19</f>
        <v>DTD-210A</v>
      </c>
      <c r="B19" s="208" t="str">
        <f>'SC_Loop 1'!B19</f>
        <v>Addressable heat detector</v>
      </c>
      <c r="C19" s="97"/>
      <c r="D19" s="20">
        <f>'SC_Loop 1'!D19</f>
        <v>1.2219999999999999E-4</v>
      </c>
      <c r="E19" s="57">
        <f t="shared" si="2"/>
        <v>0</v>
      </c>
      <c r="F19" s="200">
        <f t="shared" si="1"/>
        <v>0</v>
      </c>
      <c r="G19" s="20">
        <f>'SC_Loop 1'!G19</f>
        <v>3.64E-3</v>
      </c>
      <c r="H19" s="57">
        <f t="shared" si="3"/>
        <v>0</v>
      </c>
      <c r="I19" s="49"/>
      <c r="J19" s="49" t="str">
        <f t="shared" si="0"/>
        <v xml:space="preserve"> </v>
      </c>
      <c r="K19" s="49"/>
      <c r="L19" s="49"/>
      <c r="M19" s="106" t="str">
        <f t="shared" si="4"/>
        <v xml:space="preserve"> </v>
      </c>
    </row>
    <row r="20" spans="1:13" ht="25" x14ac:dyDescent="0.25">
      <c r="A20" s="115" t="str">
        <f>'SC_Loop 1'!A20</f>
        <v>DTD-210A-I</v>
      </c>
      <c r="B20" s="208" t="str">
        <f>'SC_Loop 1'!B20</f>
        <v>Addressable heat detector with isolator</v>
      </c>
      <c r="C20" s="97"/>
      <c r="D20" s="20">
        <f>'SC_Loop 1'!D20</f>
        <v>1.9239999999999999E-4</v>
      </c>
      <c r="E20" s="57">
        <f t="shared" si="2"/>
        <v>0</v>
      </c>
      <c r="F20" s="200">
        <f t="shared" si="1"/>
        <v>0</v>
      </c>
      <c r="G20" s="20">
        <f>'SC_Loop 1'!G20</f>
        <v>3.7599999999999999E-3</v>
      </c>
      <c r="H20" s="57">
        <f t="shared" si="3"/>
        <v>0</v>
      </c>
      <c r="I20" s="49"/>
      <c r="J20" s="49" t="str">
        <f t="shared" si="0"/>
        <v xml:space="preserve"> </v>
      </c>
      <c r="K20" s="49"/>
      <c r="L20" s="49"/>
      <c r="M20" s="106" t="str">
        <f t="shared" si="4"/>
        <v xml:space="preserve"> </v>
      </c>
    </row>
    <row r="21" spans="1:13" ht="25" x14ac:dyDescent="0.25">
      <c r="A21" s="115" t="str">
        <f>'SC_Loop 1'!A21</f>
        <v>DTD-215A</v>
      </c>
      <c r="B21" s="208" t="str">
        <f>'SC_Loop 1'!B21</f>
        <v>Addressable high temperature detector</v>
      </c>
      <c r="C21" s="97"/>
      <c r="D21" s="20">
        <f>'SC_Loop 1'!D21</f>
        <v>1.3369999999999997E-4</v>
      </c>
      <c r="E21" s="57">
        <f t="shared" si="2"/>
        <v>0</v>
      </c>
      <c r="F21" s="200">
        <f t="shared" si="1"/>
        <v>0</v>
      </c>
      <c r="G21" s="20">
        <f>'SC_Loop 1'!G21</f>
        <v>3.7799999999999999E-3</v>
      </c>
      <c r="H21" s="57">
        <f t="shared" si="3"/>
        <v>0</v>
      </c>
      <c r="I21" s="49"/>
      <c r="J21" s="49" t="str">
        <f t="shared" si="0"/>
        <v xml:space="preserve"> </v>
      </c>
      <c r="K21" s="49"/>
      <c r="L21" s="49"/>
      <c r="M21" s="106" t="str">
        <f t="shared" si="4"/>
        <v xml:space="preserve"> </v>
      </c>
    </row>
    <row r="22" spans="1:13" ht="37.5" x14ac:dyDescent="0.25">
      <c r="A22" s="115" t="str">
        <f>'SC_Loop 1'!A22</f>
        <v>DTD-215A-I</v>
      </c>
      <c r="B22" s="208" t="str">
        <f>'SC_Loop 1'!B22</f>
        <v>Addressable high temperature detector with isolator</v>
      </c>
      <c r="C22" s="97"/>
      <c r="D22" s="20">
        <f>'SC_Loop 1'!D22</f>
        <v>2.0349999999999999E-4</v>
      </c>
      <c r="E22" s="57">
        <f t="shared" si="2"/>
        <v>0</v>
      </c>
      <c r="F22" s="200">
        <f t="shared" si="1"/>
        <v>0</v>
      </c>
      <c r="G22" s="20">
        <f>'SC_Loop 1'!G22</f>
        <v>3.7699999999999999E-3</v>
      </c>
      <c r="H22" s="57">
        <f t="shared" si="3"/>
        <v>0</v>
      </c>
      <c r="I22" s="49"/>
      <c r="J22" s="49" t="str">
        <f t="shared" si="0"/>
        <v xml:space="preserve"> </v>
      </c>
      <c r="K22" s="49"/>
      <c r="L22" s="49"/>
      <c r="M22" s="106" t="str">
        <f t="shared" si="4"/>
        <v xml:space="preserve"> </v>
      </c>
    </row>
    <row r="23" spans="1:13" ht="25" x14ac:dyDescent="0.25">
      <c r="A23" s="115" t="str">
        <f>'SC_Loop 1'!A23</f>
        <v>DGD-600</v>
      </c>
      <c r="B23" s="208" t="str">
        <f>'SC_Loop 1'!B23</f>
        <v>Stand-alone natural gas detector (24V)</v>
      </c>
      <c r="C23" s="97"/>
      <c r="D23" s="20">
        <f>'SC_Loop 1'!D23</f>
        <v>2.1800000000000001E-3</v>
      </c>
      <c r="E23" s="57">
        <f t="shared" si="2"/>
        <v>0</v>
      </c>
      <c r="F23" s="200">
        <f>IF(C23&gt;10,10,C23)</f>
        <v>0</v>
      </c>
      <c r="G23" s="20">
        <f>'SC_Loop 1'!G23</f>
        <v>2.2200000000000002E-3</v>
      </c>
      <c r="H23" s="57">
        <f t="shared" si="3"/>
        <v>0</v>
      </c>
      <c r="I23" s="49"/>
      <c r="J23" s="49" t="str">
        <f t="shared" si="0"/>
        <v xml:space="preserve"> </v>
      </c>
      <c r="K23" s="49"/>
      <c r="L23" s="49"/>
      <c r="M23" s="106" t="str">
        <f t="shared" si="4"/>
        <v xml:space="preserve"> </v>
      </c>
    </row>
    <row r="24" spans="1:13" ht="25" x14ac:dyDescent="0.25">
      <c r="A24" s="115" t="str">
        <f>'SC_Loop 1'!A24</f>
        <v>DGD-600-AC</v>
      </c>
      <c r="B24" s="208" t="str">
        <f>'SC_Loop 1'!B24</f>
        <v>Stand-alone natural gas detector (230V)</v>
      </c>
      <c r="C24" s="97"/>
      <c r="D24" s="20">
        <f>'SC_Loop 1'!D24</f>
        <v>2.5999999999999999E-3</v>
      </c>
      <c r="E24" s="57">
        <f t="shared" si="2"/>
        <v>0</v>
      </c>
      <c r="F24" s="200">
        <f t="shared" ref="F24:F26" si="5">IF(C24&gt;10,10,C24)</f>
        <v>0</v>
      </c>
      <c r="G24" s="20">
        <f>'SC_Loop 1'!G24</f>
        <v>3.16E-3</v>
      </c>
      <c r="H24" s="57">
        <f t="shared" si="3"/>
        <v>0</v>
      </c>
      <c r="I24" s="49"/>
      <c r="J24" s="49" t="str">
        <f t="shared" si="0"/>
        <v xml:space="preserve"> </v>
      </c>
      <c r="K24" s="49"/>
      <c r="L24" s="49"/>
      <c r="M24" s="106" t="str">
        <f t="shared" si="4"/>
        <v xml:space="preserve"> </v>
      </c>
    </row>
    <row r="25" spans="1:13" ht="25" x14ac:dyDescent="0.25">
      <c r="A25" s="115" t="str">
        <f>'SC_Loop 1'!A25</f>
        <v>DGD-620</v>
      </c>
      <c r="B25" s="208" t="str">
        <f>'SC_Loop 1'!B25</f>
        <v>Stand-alone LPG detector (24V)</v>
      </c>
      <c r="C25" s="97"/>
      <c r="D25" s="20">
        <f>'SC_Loop 1'!D25</f>
        <v>2.1800000000000001E-3</v>
      </c>
      <c r="E25" s="57">
        <f t="shared" si="2"/>
        <v>0</v>
      </c>
      <c r="F25" s="200">
        <f t="shared" si="5"/>
        <v>0</v>
      </c>
      <c r="G25" s="20">
        <f>'SC_Loop 1'!G25</f>
        <v>2.2200000000000002E-3</v>
      </c>
      <c r="H25" s="57">
        <f t="shared" si="3"/>
        <v>0</v>
      </c>
      <c r="I25" s="49"/>
      <c r="J25" s="49" t="str">
        <f t="shared" si="0"/>
        <v xml:space="preserve"> </v>
      </c>
      <c r="K25" s="49"/>
      <c r="L25" s="49"/>
      <c r="M25" s="106" t="str">
        <f t="shared" si="4"/>
        <v xml:space="preserve"> </v>
      </c>
    </row>
    <row r="26" spans="1:13" ht="25" x14ac:dyDescent="0.25">
      <c r="A26" s="115" t="str">
        <f>'SC_Loop 1'!A26</f>
        <v>DGD-620-AC</v>
      </c>
      <c r="B26" s="208" t="str">
        <f>'SC_Loop 1'!B26</f>
        <v>Stand-alone LPG detector (230V)</v>
      </c>
      <c r="C26" s="97"/>
      <c r="D26" s="20">
        <f>'SC_Loop 1'!D26</f>
        <v>2.5999999999999999E-3</v>
      </c>
      <c r="E26" s="57">
        <f t="shared" si="2"/>
        <v>0</v>
      </c>
      <c r="F26" s="200">
        <f t="shared" si="5"/>
        <v>0</v>
      </c>
      <c r="G26" s="20">
        <f>'SC_Loop 1'!G26</f>
        <v>3.16E-3</v>
      </c>
      <c r="H26" s="57">
        <f t="shared" si="3"/>
        <v>0</v>
      </c>
      <c r="I26" s="49"/>
      <c r="J26" s="49" t="str">
        <f t="shared" si="0"/>
        <v xml:space="preserve"> </v>
      </c>
      <c r="K26" s="49"/>
      <c r="L26" s="49"/>
      <c r="M26" s="106" t="str">
        <f t="shared" si="4"/>
        <v xml:space="preserve"> </v>
      </c>
    </row>
    <row r="27" spans="1:13" ht="25" x14ac:dyDescent="0.25">
      <c r="A27" s="115" t="str">
        <f>'SC_Loop 1'!A27</f>
        <v>DBD-70A</v>
      </c>
      <c r="B27" s="208" t="str">
        <f>'SC_Loop 1'!B27</f>
        <v>Addressable lineal smoke detector</v>
      </c>
      <c r="C27" s="97"/>
      <c r="D27" s="20">
        <f>'SC_Loop 1'!D27</f>
        <v>3.7999999999999999E-2</v>
      </c>
      <c r="E27" s="57">
        <f t="shared" si="2"/>
        <v>0</v>
      </c>
      <c r="F27" s="200">
        <f>C27</f>
        <v>0</v>
      </c>
      <c r="G27" s="20">
        <f>'SC_Loop 1'!G27</f>
        <v>3.7999999999999999E-2</v>
      </c>
      <c r="H27" s="57">
        <f t="shared" si="3"/>
        <v>0</v>
      </c>
      <c r="I27" s="49"/>
      <c r="J27" s="49" t="str">
        <f t="shared" si="0"/>
        <v xml:space="preserve"> </v>
      </c>
      <c r="K27" s="49"/>
      <c r="L27" s="49"/>
      <c r="M27" s="106" t="str">
        <f t="shared" si="4"/>
        <v xml:space="preserve"> </v>
      </c>
    </row>
    <row r="28" spans="1:13" ht="25" x14ac:dyDescent="0.25">
      <c r="A28" s="115" t="str">
        <f>'SC_Loop 1'!A28</f>
        <v>MAD-401 &amp; MAD-401-I</v>
      </c>
      <c r="B28" s="208" t="str">
        <f>'SC_Loop 1'!B28</f>
        <v>1 output addressable module</v>
      </c>
      <c r="C28" s="97"/>
      <c r="D28" s="20">
        <f>'SC_Loop 1'!D28</f>
        <v>2.1680000000000001E-4</v>
      </c>
      <c r="E28" s="57">
        <f t="shared" si="2"/>
        <v>0</v>
      </c>
      <c r="F28" s="199">
        <f>C28*'System Calculation'!$I$14</f>
        <v>0</v>
      </c>
      <c r="G28" s="20">
        <f>'SC_Loop 1'!G28</f>
        <v>3.0600000000000002E-3</v>
      </c>
      <c r="H28" s="57">
        <f t="shared" si="3"/>
        <v>0</v>
      </c>
      <c r="I28" s="49"/>
      <c r="J28" s="49"/>
      <c r="K28" s="49" t="str">
        <f>IF(C28&lt;&gt;0,C28," ")</f>
        <v xml:space="preserve"> </v>
      </c>
      <c r="L28" s="49"/>
      <c r="M28" s="106" t="str">
        <f>IF(K28&lt;&gt;0,K28," ")</f>
        <v xml:space="preserve"> </v>
      </c>
    </row>
    <row r="29" spans="1:13" ht="25" x14ac:dyDescent="0.25">
      <c r="A29" s="115" t="str">
        <f>'SC_Loop 1'!A29</f>
        <v>MAD-402 &amp; MAD-402-I</v>
      </c>
      <c r="B29" s="208" t="str">
        <f>'SC_Loop 1'!B29</f>
        <v>2 outputs addressable module</v>
      </c>
      <c r="C29" s="97"/>
      <c r="D29" s="20">
        <f>'SC_Loop 1'!D29</f>
        <v>2.174E-4</v>
      </c>
      <c r="E29" s="57">
        <f t="shared" si="2"/>
        <v>0</v>
      </c>
      <c r="F29" s="199">
        <f>C29*'System Calculation'!$I$14</f>
        <v>0</v>
      </c>
      <c r="G29" s="20">
        <f>'SC_Loop 1'!G29</f>
        <v>5.9500000000000004E-3</v>
      </c>
      <c r="H29" s="57">
        <f t="shared" si="3"/>
        <v>0</v>
      </c>
      <c r="I29" s="49"/>
      <c r="J29" s="49"/>
      <c r="K29" s="49">
        <f>IF(C29&lt;&gt;0,C29,0)</f>
        <v>0</v>
      </c>
      <c r="L29" s="49"/>
      <c r="M29" s="106" t="str">
        <f>IF(K29&lt;&gt;0,K29*2," ")</f>
        <v xml:space="preserve"> </v>
      </c>
    </row>
    <row r="30" spans="1:13" ht="25" x14ac:dyDescent="0.25">
      <c r="A30" s="115" t="str">
        <f>'SC_Loop 1'!A30</f>
        <v>MAD-405-I</v>
      </c>
      <c r="B30" s="208" t="str">
        <f>'SC_Loop 1'!B30</f>
        <v>5 outputs addressable module</v>
      </c>
      <c r="C30" s="97"/>
      <c r="D30" s="20">
        <f>'SC_Loop 1'!D30</f>
        <v>2.786E-4</v>
      </c>
      <c r="E30" s="57">
        <f t="shared" si="2"/>
        <v>0</v>
      </c>
      <c r="F30" s="199">
        <f>C30*'System Calculation'!$I$14</f>
        <v>0</v>
      </c>
      <c r="G30" s="20">
        <f>'SC_Loop 1'!G30</f>
        <v>3.15E-3</v>
      </c>
      <c r="H30" s="57">
        <f t="shared" si="3"/>
        <v>0</v>
      </c>
      <c r="I30" s="49"/>
      <c r="J30" s="49"/>
      <c r="K30" s="49">
        <f>IF(C30&lt;&gt;0,C30,0)</f>
        <v>0</v>
      </c>
      <c r="L30" s="49"/>
      <c r="M30" s="106" t="str">
        <f>IF(K30&lt;&gt;0,K30*5," ")</f>
        <v xml:space="preserve"> </v>
      </c>
    </row>
    <row r="31" spans="1:13" ht="25" x14ac:dyDescent="0.25">
      <c r="A31" s="115" t="str">
        <f>'SC_Loop 1'!A31</f>
        <v>MAD-409-I</v>
      </c>
      <c r="B31" s="208" t="str">
        <f>'SC_Loop 1'!B31</f>
        <v>10 outputs addressable module</v>
      </c>
      <c r="C31" s="97"/>
      <c r="D31" s="20">
        <f>'SC_Loop 1'!D31</f>
        <v>3.6769999999999999E-4</v>
      </c>
      <c r="E31" s="57">
        <f t="shared" si="2"/>
        <v>0</v>
      </c>
      <c r="F31" s="199">
        <f>C31*'System Calculation'!$I$14</f>
        <v>0</v>
      </c>
      <c r="G31" s="20">
        <f>'SC_Loop 1'!G31</f>
        <v>3.3E-3</v>
      </c>
      <c r="H31" s="57">
        <f t="shared" si="3"/>
        <v>0</v>
      </c>
      <c r="I31" s="49"/>
      <c r="J31" s="49"/>
      <c r="K31" s="49"/>
      <c r="L31" s="49"/>
      <c r="M31" s="106" t="str">
        <f>IF(K31&lt;&gt;0,K31*10," ")</f>
        <v xml:space="preserve"> </v>
      </c>
    </row>
    <row r="32" spans="1:13" ht="25" x14ac:dyDescent="0.25">
      <c r="A32" s="115" t="str">
        <f>'SC_Loop 1'!A32</f>
        <v>MAD-411 &amp; MAD-411-I</v>
      </c>
      <c r="B32" s="208" t="str">
        <f>'SC_Loop 1'!B32</f>
        <v>1 input addressable module</v>
      </c>
      <c r="C32" s="97"/>
      <c r="D32" s="20">
        <f>'SC_Loop 1'!D32</f>
        <v>1.916E-4</v>
      </c>
      <c r="E32" s="57">
        <f t="shared" si="2"/>
        <v>0</v>
      </c>
      <c r="F32" s="199">
        <f>C32*'System Calculation'!$I$14</f>
        <v>0</v>
      </c>
      <c r="G32" s="20">
        <f>'SC_Loop 1'!G32</f>
        <v>3.0600000000000002E-3</v>
      </c>
      <c r="H32" s="57">
        <f t="shared" si="3"/>
        <v>0</v>
      </c>
      <c r="I32" s="49"/>
      <c r="J32" s="49"/>
      <c r="K32" s="49" t="str">
        <f>IF(C32&lt;&gt;0,C32," ")</f>
        <v xml:space="preserve"> </v>
      </c>
      <c r="L32" s="49"/>
      <c r="M32" s="106" t="str">
        <f t="shared" ref="M32" si="6">IF(K32&lt;&gt;0,K32," ")</f>
        <v xml:space="preserve"> </v>
      </c>
    </row>
    <row r="33" spans="1:15" ht="25" x14ac:dyDescent="0.25">
      <c r="A33" s="115" t="str">
        <f>'SC_Loop 1'!A33</f>
        <v>MAD-412 &amp; MAD-412-I</v>
      </c>
      <c r="B33" s="208" t="str">
        <f>'SC_Loop 1'!B33</f>
        <v>2 inputs addressable module</v>
      </c>
      <c r="C33" s="97"/>
      <c r="D33" s="20">
        <f>'SC_Loop 1'!D33</f>
        <v>1.9099999999999998E-4</v>
      </c>
      <c r="E33" s="57">
        <f t="shared" si="2"/>
        <v>0</v>
      </c>
      <c r="F33" s="199">
        <f>C33*'System Calculation'!$I$14</f>
        <v>0</v>
      </c>
      <c r="G33" s="20">
        <f>'SC_Loop 1'!G33</f>
        <v>5.8399999999999997E-3</v>
      </c>
      <c r="H33" s="57">
        <f t="shared" si="3"/>
        <v>0</v>
      </c>
      <c r="I33" s="49"/>
      <c r="J33" s="49"/>
      <c r="K33" s="49">
        <f t="shared" ref="K33:K39" si="7">IF(C33&lt;&gt;0,C33,0)</f>
        <v>0</v>
      </c>
      <c r="L33" s="49"/>
      <c r="M33" s="106" t="str">
        <f>IF(K33&lt;&gt;0,K33*2," ")</f>
        <v xml:space="preserve"> </v>
      </c>
    </row>
    <row r="34" spans="1:15" ht="25" x14ac:dyDescent="0.25">
      <c r="A34" s="115" t="str">
        <f>'SC_Loop 1'!A34</f>
        <v>MAD-415-I</v>
      </c>
      <c r="B34" s="208" t="str">
        <f>'SC_Loop 1'!B34</f>
        <v>5 inputs addressable module</v>
      </c>
      <c r="C34" s="97"/>
      <c r="D34" s="20">
        <f>'SC_Loop 1'!D34</f>
        <v>1.8880000000000001E-4</v>
      </c>
      <c r="E34" s="57">
        <f t="shared" si="2"/>
        <v>0</v>
      </c>
      <c r="F34" s="199">
        <f>C34*'System Calculation'!$I$14</f>
        <v>0</v>
      </c>
      <c r="G34" s="20">
        <f>'SC_Loop 1'!G34</f>
        <v>3.9500000000000004E-3</v>
      </c>
      <c r="H34" s="57">
        <f t="shared" si="3"/>
        <v>0</v>
      </c>
      <c r="I34" s="49"/>
      <c r="J34" s="49"/>
      <c r="K34" s="49">
        <f t="shared" si="7"/>
        <v>0</v>
      </c>
      <c r="L34" s="49"/>
      <c r="M34" s="106" t="str">
        <f>IF(KJ34&lt;&gt;0,K34*5," ")</f>
        <v xml:space="preserve"> </v>
      </c>
      <c r="O34" s="13" t="str">
        <f t="shared" ref="O34" si="8">IF(AND(C34&gt;0),"Info: External 24V needed. Control Panel could provide from 24Vaux, if 500mA maximum current isn't exceeded."," ")</f>
        <v xml:space="preserve"> </v>
      </c>
    </row>
    <row r="35" spans="1:15" ht="25" x14ac:dyDescent="0.25">
      <c r="A35" s="115" t="str">
        <f>'SC_Loop 1'!A35</f>
        <v>MAD-419-I</v>
      </c>
      <c r="B35" s="208" t="str">
        <f>'SC_Loop 1'!B35</f>
        <v>10 inputs addressable module</v>
      </c>
      <c r="C35" s="97"/>
      <c r="D35" s="20">
        <f>'SC_Loop 1'!D35</f>
        <v>1.8919999999999999E-4</v>
      </c>
      <c r="E35" s="57">
        <f t="shared" si="2"/>
        <v>0</v>
      </c>
      <c r="F35" s="199">
        <f>C35*'System Calculation'!$I$14</f>
        <v>0</v>
      </c>
      <c r="G35" s="20">
        <f>'SC_Loop 1'!G35</f>
        <v>4.8399999999999997E-3</v>
      </c>
      <c r="H35" s="57">
        <f t="shared" si="3"/>
        <v>0</v>
      </c>
      <c r="I35" s="49"/>
      <c r="J35" s="49"/>
      <c r="K35" s="49">
        <f t="shared" si="7"/>
        <v>0</v>
      </c>
      <c r="L35" s="49"/>
      <c r="M35" s="106" t="str">
        <f>IF(K35&lt;&gt;0,K35*10," ")</f>
        <v xml:space="preserve"> </v>
      </c>
      <c r="O35" s="13" t="str">
        <f>IF(AND(C33&gt;0),"Info: External 24V needed. Control Panel could provide from 24Vaux, if 500mA maximum current isn't exceeded."," ")</f>
        <v xml:space="preserve"> </v>
      </c>
    </row>
    <row r="36" spans="1:15" ht="25" x14ac:dyDescent="0.25">
      <c r="A36" s="115" t="str">
        <f>'SC_Loop 1'!A36</f>
        <v>MAD-421 &amp; MAD-421-I</v>
      </c>
      <c r="B36" s="208" t="str">
        <f>'SC_Loop 1'!B36</f>
        <v>1 output/1 input addressable module</v>
      </c>
      <c r="C36" s="97"/>
      <c r="D36" s="20">
        <f>'SC_Loop 1'!D36</f>
        <v>2.1009999999999998E-4</v>
      </c>
      <c r="E36" s="57">
        <f t="shared" si="2"/>
        <v>0</v>
      </c>
      <c r="F36" s="199">
        <f>C36*'System Calculation'!$I$14</f>
        <v>0</v>
      </c>
      <c r="G36" s="20">
        <f>'SC_Loop 1'!G36</f>
        <v>5.9199999999999999E-3</v>
      </c>
      <c r="H36" s="57">
        <f t="shared" si="3"/>
        <v>0</v>
      </c>
      <c r="I36" s="49"/>
      <c r="J36" s="49"/>
      <c r="K36" s="49">
        <f t="shared" si="7"/>
        <v>0</v>
      </c>
      <c r="L36" s="49"/>
      <c r="M36" s="106" t="str">
        <f>IF(K36&lt;&gt;0,K36*2," ")</f>
        <v xml:space="preserve"> </v>
      </c>
      <c r="O36" s="13"/>
    </row>
    <row r="37" spans="1:15" ht="25" x14ac:dyDescent="0.25">
      <c r="A37" s="115" t="str">
        <f>'SC_Loop 1'!A37</f>
        <v>MAD-422 &amp; MAD-422-I</v>
      </c>
      <c r="B37" s="208" t="str">
        <f>'SC_Loop 1'!B37</f>
        <v>2 outputs/2 inputs addressable module</v>
      </c>
      <c r="C37" s="97"/>
      <c r="D37" s="20">
        <f>'SC_Loop 1'!D37</f>
        <v>2.34E-4</v>
      </c>
      <c r="E37" s="57">
        <f t="shared" si="2"/>
        <v>0</v>
      </c>
      <c r="F37" s="199">
        <f>C37*'System Calculation'!$I$14</f>
        <v>0</v>
      </c>
      <c r="G37" s="20">
        <f>'SC_Loop 1'!G37</f>
        <v>5.9100000000000003E-3</v>
      </c>
      <c r="H37" s="57">
        <f t="shared" si="3"/>
        <v>0</v>
      </c>
      <c r="I37" s="49"/>
      <c r="J37" s="49"/>
      <c r="K37" s="49">
        <f t="shared" si="7"/>
        <v>0</v>
      </c>
      <c r="L37" s="49"/>
      <c r="M37" s="106" t="str">
        <f>IF(K37&lt;&gt;0,K37*4," ")</f>
        <v xml:space="preserve"> </v>
      </c>
      <c r="O37" s="13"/>
    </row>
    <row r="38" spans="1:15" ht="25" x14ac:dyDescent="0.25">
      <c r="A38" s="115" t="str">
        <f>'SC_Loop 1'!A38</f>
        <v>MAD-425-I</v>
      </c>
      <c r="B38" s="208" t="str">
        <f>'SC_Loop 1'!B38</f>
        <v>5 outputs/5 inputs addressable module</v>
      </c>
      <c r="C38" s="97"/>
      <c r="D38" s="20">
        <f>'SC_Loop 1'!D38</f>
        <v>2.8399999999999996E-4</v>
      </c>
      <c r="E38" s="57">
        <f t="shared" si="2"/>
        <v>0</v>
      </c>
      <c r="F38" s="199">
        <f>C38*'System Calculation'!$I$14</f>
        <v>0</v>
      </c>
      <c r="G38" s="20">
        <f>'SC_Loop 1'!G38</f>
        <v>4.0800000000000003E-3</v>
      </c>
      <c r="H38" s="57">
        <f t="shared" si="3"/>
        <v>0</v>
      </c>
      <c r="I38" s="49"/>
      <c r="J38" s="49"/>
      <c r="K38" s="49">
        <f t="shared" si="7"/>
        <v>0</v>
      </c>
      <c r="L38" s="49"/>
      <c r="M38" s="106" t="str">
        <f>IF(K38&lt;&gt;0,K38*10," ")</f>
        <v xml:space="preserve"> </v>
      </c>
      <c r="O38" s="13" t="str">
        <f t="shared" ref="O38:O43" si="9">IF(AND(C38&gt;0),"Info: External 24V needed. Control Panel could provide from 24Vaux, if 500mA maximum current isn't exceeded."," ")</f>
        <v xml:space="preserve"> </v>
      </c>
    </row>
    <row r="39" spans="1:15" ht="25" x14ac:dyDescent="0.25">
      <c r="A39" s="115" t="str">
        <f>'SC_Loop 1'!A39</f>
        <v>MAD-429-I</v>
      </c>
      <c r="B39" s="208" t="str">
        <f>'SC_Loop 1'!B39</f>
        <v>10 outputs/10 inputs addressable module</v>
      </c>
      <c r="C39" s="97"/>
      <c r="D39" s="20">
        <f>'SC_Loop 1'!D39</f>
        <v>3.7659999999999999E-4</v>
      </c>
      <c r="E39" s="57">
        <f t="shared" si="2"/>
        <v>0</v>
      </c>
      <c r="F39" s="199">
        <f>C39*'System Calculation'!$I$14</f>
        <v>0</v>
      </c>
      <c r="G39" s="20">
        <f>'SC_Loop 1'!G39</f>
        <v>5.0000000000000001E-3</v>
      </c>
      <c r="H39" s="57">
        <f t="shared" si="3"/>
        <v>0</v>
      </c>
      <c r="I39" s="49"/>
      <c r="J39" s="49"/>
      <c r="K39" s="49">
        <f t="shared" si="7"/>
        <v>0</v>
      </c>
      <c r="L39" s="49"/>
      <c r="M39" s="106" t="str">
        <f>IF(K39&lt;&gt;0,K39*20," ")</f>
        <v xml:space="preserve"> </v>
      </c>
      <c r="O39" s="13" t="str">
        <f t="shared" si="9"/>
        <v xml:space="preserve"> </v>
      </c>
    </row>
    <row r="40" spans="1:15" ht="25" x14ac:dyDescent="0.25">
      <c r="A40" s="115" t="str">
        <f>'SC_Loop 1'!A40</f>
        <v>MAD-431 &amp; MAD-431-I</v>
      </c>
      <c r="B40" s="208" t="str">
        <f>'SC_Loop 1'!B40</f>
        <v>1 output 24V addressable module</v>
      </c>
      <c r="C40" s="97"/>
      <c r="D40" s="20">
        <f>'SC_Loop 1'!D40</f>
        <v>2.1499999999999999E-4</v>
      </c>
      <c r="E40" s="57">
        <f t="shared" si="2"/>
        <v>0</v>
      </c>
      <c r="F40" s="199">
        <f>C40*'System Calculation'!$I$14</f>
        <v>0</v>
      </c>
      <c r="G40" s="20">
        <f>'SC_Loop 1'!G40</f>
        <v>3.6099999999999999E-3</v>
      </c>
      <c r="H40" s="57">
        <f t="shared" si="3"/>
        <v>0</v>
      </c>
      <c r="I40" s="49"/>
      <c r="J40" s="49"/>
      <c r="K40" s="49" t="str">
        <f>IF(C40&lt;&gt;0,C40," ")</f>
        <v xml:space="preserve"> </v>
      </c>
      <c r="L40" s="49"/>
      <c r="M40" s="106" t="str">
        <f>IF(K40&lt;&gt;0,K40," ")</f>
        <v xml:space="preserve"> </v>
      </c>
      <c r="O40" s="13" t="str">
        <f t="shared" si="9"/>
        <v xml:space="preserve"> </v>
      </c>
    </row>
    <row r="41" spans="1:15" ht="25" x14ac:dyDescent="0.25">
      <c r="A41" s="115" t="str">
        <f>'SC_Loop 1'!A41</f>
        <v>MAD-432 &amp; MAD-432-I</v>
      </c>
      <c r="B41" s="208" t="str">
        <f>'SC_Loop 1'!B41</f>
        <v>2 outputs 24V addressable module</v>
      </c>
      <c r="C41" s="97"/>
      <c r="D41" s="20">
        <f>'SC_Loop 1'!D41</f>
        <v>2.0330000000000001E-4</v>
      </c>
      <c r="E41" s="57">
        <f t="shared" si="2"/>
        <v>0</v>
      </c>
      <c r="F41" s="199">
        <f>C41*'System Calculation'!$I$14</f>
        <v>0</v>
      </c>
      <c r="G41" s="20">
        <f>'SC_Loop 1'!G41</f>
        <v>6.7999999999999996E-3</v>
      </c>
      <c r="H41" s="57">
        <f t="shared" si="3"/>
        <v>0</v>
      </c>
      <c r="I41" s="49"/>
      <c r="J41" s="49"/>
      <c r="K41" s="49" t="str">
        <f t="shared" ref="K41:K43" si="10">IF(C41&lt;&gt;0,C41," ")</f>
        <v xml:space="preserve"> </v>
      </c>
      <c r="L41" s="49"/>
      <c r="M41" s="106" t="str">
        <f>IF(K41&lt;&gt;0,K41," ")</f>
        <v xml:space="preserve"> </v>
      </c>
      <c r="O41" s="13" t="str">
        <f t="shared" si="9"/>
        <v xml:space="preserve"> </v>
      </c>
    </row>
    <row r="42" spans="1:15" ht="25" x14ac:dyDescent="0.25">
      <c r="A42" s="115" t="str">
        <f>'SC_Loop 1'!A42</f>
        <v>MAD-441 &amp; MAD-441-I</v>
      </c>
      <c r="B42" s="208" t="str">
        <f>'SC_Loop 1'!B42</f>
        <v>1 conventional zone addressable module</v>
      </c>
      <c r="C42" s="97"/>
      <c r="D42" s="20">
        <f>'SC_Loop 1'!D42</f>
        <v>1.8780000000000001E-4</v>
      </c>
      <c r="E42" s="57">
        <f t="shared" si="2"/>
        <v>0</v>
      </c>
      <c r="F42" s="199">
        <f>C42*'System Calculation'!$I$14</f>
        <v>0</v>
      </c>
      <c r="G42" s="20">
        <f>'SC_Loop 1'!G42</f>
        <v>3.0400000000000002E-3</v>
      </c>
      <c r="H42" s="57">
        <f t="shared" si="3"/>
        <v>0</v>
      </c>
      <c r="I42" s="49"/>
      <c r="J42" s="49"/>
      <c r="K42" s="49" t="str">
        <f t="shared" si="10"/>
        <v xml:space="preserve"> </v>
      </c>
      <c r="L42" s="49"/>
      <c r="M42" s="106" t="str">
        <f t="shared" ref="M42:M43" si="11">IF(K42&lt;&gt;0,K42," ")</f>
        <v xml:space="preserve"> </v>
      </c>
      <c r="O42" s="13" t="str">
        <f t="shared" si="9"/>
        <v xml:space="preserve"> </v>
      </c>
    </row>
    <row r="43" spans="1:15" ht="25" x14ac:dyDescent="0.25">
      <c r="A43" s="115" t="str">
        <f>'SC_Loop 1'!A43</f>
        <v>MAD-442 &amp; MAD-442-I</v>
      </c>
      <c r="B43" s="208" t="str">
        <f>'SC_Loop 1'!B43</f>
        <v>2 conventionals zones addressable module</v>
      </c>
      <c r="C43" s="97"/>
      <c r="D43" s="20">
        <f>'SC_Loop 1'!D43</f>
        <v>1.8780000000000001E-4</v>
      </c>
      <c r="E43" s="57">
        <f t="shared" si="2"/>
        <v>0</v>
      </c>
      <c r="F43" s="199">
        <f>C43*'System Calculation'!$I$14</f>
        <v>0</v>
      </c>
      <c r="G43" s="20">
        <f>'SC_Loop 1'!G43</f>
        <v>5.8399999999999997E-3</v>
      </c>
      <c r="H43" s="57">
        <f t="shared" si="3"/>
        <v>0</v>
      </c>
      <c r="I43" s="49"/>
      <c r="J43" s="49"/>
      <c r="K43" s="49" t="str">
        <f t="shared" si="10"/>
        <v xml:space="preserve"> </v>
      </c>
      <c r="L43" s="49"/>
      <c r="M43" s="106" t="str">
        <f t="shared" si="11"/>
        <v xml:space="preserve"> </v>
      </c>
      <c r="O43" s="13" t="str">
        <f t="shared" si="9"/>
        <v xml:space="preserve"> </v>
      </c>
    </row>
    <row r="44" spans="1:15" ht="25" x14ac:dyDescent="0.25">
      <c r="A44" s="115" t="str">
        <f>'SC_Loop 1'!A44</f>
        <v>MAD-450 &amp; MAD-450-I</v>
      </c>
      <c r="B44" s="208" t="str">
        <f>'SC_Loop 1'!B44</f>
        <v>Addressable manual call point with isolator</v>
      </c>
      <c r="C44" s="97"/>
      <c r="D44" s="20">
        <f>'SC_Loop 1'!D44</f>
        <v>1.7659999999999998E-4</v>
      </c>
      <c r="E44" s="57">
        <f t="shared" si="2"/>
        <v>0</v>
      </c>
      <c r="F44" s="199">
        <f>C44*'System Calculation'!$I$12</f>
        <v>0</v>
      </c>
      <c r="G44" s="20">
        <f>'SC_Loop 1'!G44</f>
        <v>3.0299999999999997E-3</v>
      </c>
      <c r="H44" s="57">
        <f t="shared" si="3"/>
        <v>0</v>
      </c>
      <c r="I44" s="49"/>
      <c r="J44" s="49" t="str">
        <f t="shared" ref="J44:J45" si="12">IF(C44&lt;&gt;0,C44," ")</f>
        <v xml:space="preserve"> </v>
      </c>
      <c r="K44" s="49"/>
      <c r="L44" s="49"/>
      <c r="M44" s="106" t="str">
        <f t="shared" si="4"/>
        <v xml:space="preserve"> </v>
      </c>
    </row>
    <row r="45" spans="1:15" ht="25" x14ac:dyDescent="0.25">
      <c r="A45" s="115" t="str">
        <f>'SC_Loop 1'!A45</f>
        <v>MAD-451-I</v>
      </c>
      <c r="B45" s="208" t="str">
        <f>'SC_Loop 1'!B45</f>
        <v>Addressable manual call point with isolator</v>
      </c>
      <c r="C45" s="97"/>
      <c r="D45" s="20">
        <f>'SC_Loop 1'!D45</f>
        <v>1.774E-4</v>
      </c>
      <c r="E45" s="57">
        <f t="shared" si="2"/>
        <v>0</v>
      </c>
      <c r="F45" s="199">
        <f>C45*'System Calculation'!$I$12</f>
        <v>0</v>
      </c>
      <c r="G45" s="20">
        <f>'SC_Loop 1'!G45</f>
        <v>3.0000000000000001E-3</v>
      </c>
      <c r="H45" s="57">
        <f t="shared" si="3"/>
        <v>0</v>
      </c>
      <c r="I45" s="49"/>
      <c r="J45" s="49" t="str">
        <f t="shared" si="12"/>
        <v xml:space="preserve"> </v>
      </c>
      <c r="K45" s="49"/>
      <c r="L45" s="49"/>
      <c r="M45" s="106" t="str">
        <f t="shared" si="4"/>
        <v xml:space="preserve"> </v>
      </c>
    </row>
    <row r="46" spans="1:15" ht="25" x14ac:dyDescent="0.25">
      <c r="A46" s="115" t="str">
        <f>'SC_Loop 1'!A46</f>
        <v>MAD-461-I</v>
      </c>
      <c r="B46" s="208" t="str">
        <f>'SC_Loop 1'!B46</f>
        <v>Addressable sounder with isolator</v>
      </c>
      <c r="C46" s="97"/>
      <c r="D46" s="20">
        <f>'SC_Loop 1'!D46</f>
        <v>1.7689999999999999E-4</v>
      </c>
      <c r="E46" s="57">
        <f t="shared" si="2"/>
        <v>0</v>
      </c>
      <c r="F46" s="199">
        <f>C46*'System Calculation'!$I$13</f>
        <v>0</v>
      </c>
      <c r="G46" s="20">
        <f>'SC_Loop 1'!G46</f>
        <v>8.3499999999999998E-3</v>
      </c>
      <c r="H46" s="57">
        <f>F46*G46</f>
        <v>0</v>
      </c>
      <c r="I46" s="49" t="str">
        <f>IF(C46*H46=0," ",H46)</f>
        <v xml:space="preserve"> </v>
      </c>
      <c r="J46" s="49"/>
      <c r="K46" s="49"/>
      <c r="L46" s="49" t="str">
        <f t="shared" ref="L46:L66" si="13">IF(C46&lt;&gt;0,C46," ")</f>
        <v xml:space="preserve"> </v>
      </c>
      <c r="M46" s="106" t="str">
        <f>IF(L46&lt;&gt;0,L46," ")</f>
        <v xml:space="preserve"> </v>
      </c>
    </row>
    <row r="47" spans="1:15" ht="25" x14ac:dyDescent="0.25">
      <c r="A47" s="115" t="str">
        <f>'SC_Loop 1'!A47</f>
        <v>MAD-464-I Low Volume (78 dB)</v>
      </c>
      <c r="B47" s="208" t="str">
        <f>'SC_Loop 1'!B47</f>
        <v>Addressable sounder with isolator</v>
      </c>
      <c r="C47" s="97"/>
      <c r="D47" s="20">
        <f>'SC_Loop 1'!D47</f>
        <v>1.7649999999999998E-4</v>
      </c>
      <c r="E47" s="57">
        <f t="shared" si="2"/>
        <v>0</v>
      </c>
      <c r="F47" s="199">
        <f>C47*'System Calculation'!$I$13</f>
        <v>0</v>
      </c>
      <c r="G47" s="20">
        <f>'SC_Loop 1'!G47</f>
        <v>1.2320000000000001E-2</v>
      </c>
      <c r="H47" s="57">
        <f t="shared" si="3"/>
        <v>0</v>
      </c>
      <c r="I47" s="49" t="str">
        <f t="shared" ref="I47:I66" si="14">IF(C47*H47=0," ",H47)</f>
        <v xml:space="preserve"> </v>
      </c>
      <c r="J47" s="49"/>
      <c r="K47" s="49"/>
      <c r="L47" s="49" t="str">
        <f t="shared" si="13"/>
        <v xml:space="preserve"> </v>
      </c>
      <c r="M47" s="106" t="str">
        <f t="shared" ref="M47:M66" si="15">IF(L47&lt;&gt;0,L47," ")</f>
        <v xml:space="preserve"> </v>
      </c>
    </row>
    <row r="48" spans="1:15" ht="25" x14ac:dyDescent="0.25">
      <c r="A48" s="115" t="str">
        <f>'SC_Loop 1'!A48</f>
        <v>MAD-464-I Medium Volume (93 dB)</v>
      </c>
      <c r="B48" s="208" t="str">
        <f>'SC_Loop 1'!B48</f>
        <v>Addressable sounder with isolator</v>
      </c>
      <c r="C48" s="97"/>
      <c r="D48" s="20">
        <f>'SC_Loop 1'!D48</f>
        <v>1.7649999999999998E-4</v>
      </c>
      <c r="E48" s="57">
        <f t="shared" si="2"/>
        <v>0</v>
      </c>
      <c r="F48" s="199">
        <f>C48*'System Calculation'!$I$13</f>
        <v>0</v>
      </c>
      <c r="G48" s="20">
        <f>'SC_Loop 1'!G48</f>
        <v>1.2320000000000001E-2</v>
      </c>
      <c r="H48" s="57">
        <f t="shared" si="3"/>
        <v>0</v>
      </c>
      <c r="I48" s="49" t="str">
        <f t="shared" si="14"/>
        <v xml:space="preserve"> </v>
      </c>
      <c r="J48" s="49"/>
      <c r="K48" s="49"/>
      <c r="L48" s="49" t="str">
        <f t="shared" si="13"/>
        <v xml:space="preserve"> </v>
      </c>
      <c r="M48" s="106" t="str">
        <f t="shared" si="15"/>
        <v xml:space="preserve"> </v>
      </c>
    </row>
    <row r="49" spans="1:15" ht="25" x14ac:dyDescent="0.25">
      <c r="A49" s="115" t="str">
        <f>'SC_Loop 1'!A49</f>
        <v>MAD-464-I High Volume (97 dB)</v>
      </c>
      <c r="B49" s="208" t="str">
        <f>'SC_Loop 1'!B49</f>
        <v>Addressable sounder with isolator</v>
      </c>
      <c r="C49" s="97"/>
      <c r="D49" s="20">
        <f>'SC_Loop 1'!D49</f>
        <v>1.7649999999999998E-4</v>
      </c>
      <c r="E49" s="57">
        <f t="shared" si="2"/>
        <v>0</v>
      </c>
      <c r="F49" s="199">
        <f>C49*'System Calculation'!$I$13</f>
        <v>0</v>
      </c>
      <c r="G49" s="20">
        <f>'SC_Loop 1'!G49</f>
        <v>1.2320000000000001E-2</v>
      </c>
      <c r="H49" s="57">
        <f t="shared" si="3"/>
        <v>0</v>
      </c>
      <c r="I49" s="49" t="str">
        <f t="shared" si="14"/>
        <v xml:space="preserve"> </v>
      </c>
      <c r="J49" s="49"/>
      <c r="K49" s="49"/>
      <c r="L49" s="49" t="str">
        <f t="shared" si="13"/>
        <v xml:space="preserve"> </v>
      </c>
      <c r="M49" s="106" t="str">
        <f t="shared" si="15"/>
        <v xml:space="preserve"> </v>
      </c>
    </row>
    <row r="50" spans="1:15" ht="37.5" x14ac:dyDescent="0.25">
      <c r="A50" s="115" t="str">
        <f>'SC_Loop 1'!A50</f>
        <v>MAD-465-I Low Volume (78 dB)</v>
      </c>
      <c r="B50" s="208" t="str">
        <f>'SC_Loop 1'!B50</f>
        <v>Addressable sounder with beacon and isolator</v>
      </c>
      <c r="C50" s="97"/>
      <c r="D50" s="20">
        <f>'SC_Loop 1'!D50</f>
        <v>1.773E-4</v>
      </c>
      <c r="E50" s="57">
        <f t="shared" si="2"/>
        <v>0</v>
      </c>
      <c r="F50" s="199">
        <f>C50*'System Calculation'!$I$13</f>
        <v>0</v>
      </c>
      <c r="G50" s="20">
        <f>'SC_Loop 1'!G50</f>
        <v>1.2320000000000001E-2</v>
      </c>
      <c r="H50" s="57">
        <f t="shared" si="3"/>
        <v>0</v>
      </c>
      <c r="I50" s="49" t="str">
        <f t="shared" si="14"/>
        <v xml:space="preserve"> </v>
      </c>
      <c r="J50" s="49"/>
      <c r="K50" s="49"/>
      <c r="L50" s="49" t="str">
        <f t="shared" si="13"/>
        <v xml:space="preserve"> </v>
      </c>
      <c r="M50" s="106" t="str">
        <f t="shared" si="15"/>
        <v xml:space="preserve"> </v>
      </c>
    </row>
    <row r="51" spans="1:15" ht="37.5" x14ac:dyDescent="0.25">
      <c r="A51" s="115" t="str">
        <f>'SC_Loop 1'!A51</f>
        <v>MAD-465-I Medium Volume (93 dB)</v>
      </c>
      <c r="B51" s="208" t="str">
        <f>'SC_Loop 1'!B51</f>
        <v>Addressable sounder with beacon and isolator</v>
      </c>
      <c r="C51" s="97"/>
      <c r="D51" s="20">
        <f>'SC_Loop 1'!D51</f>
        <v>1.773E-4</v>
      </c>
      <c r="E51" s="57">
        <f t="shared" si="2"/>
        <v>0</v>
      </c>
      <c r="F51" s="199">
        <f>C51*'System Calculation'!$I$13</f>
        <v>0</v>
      </c>
      <c r="G51" s="20">
        <f>'SC_Loop 1'!G51</f>
        <v>1.2320000000000001E-2</v>
      </c>
      <c r="H51" s="57">
        <f t="shared" si="3"/>
        <v>0</v>
      </c>
      <c r="I51" s="49" t="str">
        <f t="shared" si="14"/>
        <v xml:space="preserve"> </v>
      </c>
      <c r="J51" s="49"/>
      <c r="K51" s="49"/>
      <c r="L51" s="49" t="str">
        <f t="shared" si="13"/>
        <v xml:space="preserve"> </v>
      </c>
      <c r="M51" s="106" t="str">
        <f t="shared" si="15"/>
        <v xml:space="preserve"> </v>
      </c>
    </row>
    <row r="52" spans="1:15" ht="37.5" x14ac:dyDescent="0.25">
      <c r="A52" s="115" t="str">
        <f>'SC_Loop 1'!A52</f>
        <v>MAD-465-I High Volume (97 dB)</v>
      </c>
      <c r="B52" s="208" t="str">
        <f>'SC_Loop 1'!B52</f>
        <v>Addressable sounder with beacon and isolator</v>
      </c>
      <c r="C52" s="97"/>
      <c r="D52" s="20">
        <f>'SC_Loop 1'!D52</f>
        <v>1.773E-4</v>
      </c>
      <c r="E52" s="57">
        <f t="shared" si="2"/>
        <v>0</v>
      </c>
      <c r="F52" s="199">
        <f>C52*'System Calculation'!$I$13</f>
        <v>0</v>
      </c>
      <c r="G52" s="20">
        <f>'SC_Loop 1'!G52</f>
        <v>1.2320000000000001E-2</v>
      </c>
      <c r="H52" s="57">
        <f t="shared" si="3"/>
        <v>0</v>
      </c>
      <c r="I52" s="49" t="str">
        <f t="shared" si="14"/>
        <v xml:space="preserve"> </v>
      </c>
      <c r="J52" s="49"/>
      <c r="K52" s="49"/>
      <c r="L52" s="49" t="str">
        <f t="shared" si="13"/>
        <v xml:space="preserve"> </v>
      </c>
      <c r="M52" s="106" t="str">
        <f t="shared" si="15"/>
        <v xml:space="preserve"> </v>
      </c>
    </row>
    <row r="53" spans="1:15" ht="25" x14ac:dyDescent="0.25">
      <c r="A53" s="115" t="str">
        <f>'SC_Loop 1'!A53</f>
        <v>MAD-564-I (loop)</v>
      </c>
      <c r="B53" s="208" t="str">
        <f>'SC_Loop 1'!B53</f>
        <v>Addressable sounder with isolator</v>
      </c>
      <c r="C53" s="97"/>
      <c r="D53" s="20">
        <f>'SC_Loop 1'!D53</f>
        <v>1.58E-3</v>
      </c>
      <c r="E53" s="57">
        <f t="shared" si="2"/>
        <v>0</v>
      </c>
      <c r="F53" s="199">
        <f>C53*'System Calculation'!$I$13</f>
        <v>0</v>
      </c>
      <c r="G53" s="20">
        <f>'SC_Loop 1'!G53</f>
        <v>2.111E-2</v>
      </c>
      <c r="H53" s="57">
        <f t="shared" si="3"/>
        <v>0</v>
      </c>
      <c r="I53" s="49" t="str">
        <f t="shared" si="14"/>
        <v xml:space="preserve"> </v>
      </c>
      <c r="J53" s="49"/>
      <c r="K53" s="49"/>
      <c r="L53" s="49" t="str">
        <f t="shared" si="13"/>
        <v xml:space="preserve"> </v>
      </c>
      <c r="M53" s="106" t="str">
        <f t="shared" si="15"/>
        <v xml:space="preserve"> </v>
      </c>
    </row>
    <row r="54" spans="1:15" ht="25" x14ac:dyDescent="0.25">
      <c r="A54" s="115" t="str">
        <f>'SC_Loop 1'!A54</f>
        <v>MAD-564-I (External PS)</v>
      </c>
      <c r="B54" s="208" t="str">
        <f>'SC_Loop 1'!B54</f>
        <v>Addressable sounder with isolator</v>
      </c>
      <c r="C54" s="97"/>
      <c r="D54" s="20">
        <f>'SC_Loop 1'!D54</f>
        <v>3.5E-4</v>
      </c>
      <c r="E54" s="57">
        <f t="shared" si="2"/>
        <v>0</v>
      </c>
      <c r="F54" s="199">
        <f>C54*'System Calculation'!$I$13</f>
        <v>0</v>
      </c>
      <c r="G54" s="20">
        <f>'SC_Loop 1'!G54</f>
        <v>8.0000000000000004E-4</v>
      </c>
      <c r="H54" s="57">
        <f t="shared" si="3"/>
        <v>0</v>
      </c>
      <c r="I54" s="49" t="str">
        <f t="shared" si="14"/>
        <v xml:space="preserve"> </v>
      </c>
      <c r="J54" s="49"/>
      <c r="K54" s="49"/>
      <c r="L54" s="49" t="str">
        <f t="shared" si="13"/>
        <v xml:space="preserve"> </v>
      </c>
      <c r="M54" s="106" t="str">
        <f t="shared" si="15"/>
        <v xml:space="preserve"> </v>
      </c>
      <c r="O54" s="13" t="str">
        <f>IF(AND(C53&gt;0),"Info: External 24V needed. EN 54-4 certificate."," ")</f>
        <v xml:space="preserve"> </v>
      </c>
    </row>
    <row r="55" spans="1:15" ht="25" x14ac:dyDescent="0.25">
      <c r="A55" s="115" t="str">
        <f>'SC_Loop 1'!A55</f>
        <v>MAD-565-I (loop)</v>
      </c>
      <c r="B55" s="208" t="str">
        <f>'SC_Loop 1'!B55</f>
        <v>Addressable sounder with VAD and isolator</v>
      </c>
      <c r="C55" s="97"/>
      <c r="D55" s="20">
        <f>'SC_Loop 1'!D55</f>
        <v>1.58E-3</v>
      </c>
      <c r="E55" s="57">
        <f t="shared" si="2"/>
        <v>0</v>
      </c>
      <c r="F55" s="199">
        <f>C55*'System Calculation'!$I$13</f>
        <v>0</v>
      </c>
      <c r="G55" s="20">
        <f>'SC_Loop 1'!G55</f>
        <v>3.3450000000000001E-2</v>
      </c>
      <c r="H55" s="57">
        <f t="shared" si="3"/>
        <v>0</v>
      </c>
      <c r="I55" s="49" t="str">
        <f t="shared" si="14"/>
        <v xml:space="preserve"> </v>
      </c>
      <c r="J55" s="49"/>
      <c r="K55" s="49"/>
      <c r="L55" s="49" t="str">
        <f t="shared" si="13"/>
        <v xml:space="preserve"> </v>
      </c>
      <c r="M55" s="106" t="str">
        <f t="shared" si="15"/>
        <v xml:space="preserve"> </v>
      </c>
    </row>
    <row r="56" spans="1:15" ht="25" x14ac:dyDescent="0.25">
      <c r="A56" s="115" t="str">
        <f>'SC_Loop 1'!A56</f>
        <v>MAD-565-I (External PS)</v>
      </c>
      <c r="B56" s="208" t="str">
        <f>'SC_Loop 1'!B56</f>
        <v>Addressable sounder with VAD and isolator</v>
      </c>
      <c r="C56" s="97"/>
      <c r="D56" s="20">
        <f>'SC_Loop 1'!D56</f>
        <v>3.5E-4</v>
      </c>
      <c r="E56" s="57">
        <f t="shared" si="2"/>
        <v>0</v>
      </c>
      <c r="F56" s="199">
        <f>C56*'System Calculation'!$I$13</f>
        <v>0</v>
      </c>
      <c r="G56" s="20">
        <f>'SC_Loop 1'!G56</f>
        <v>8.0000000000000004E-4</v>
      </c>
      <c r="H56" s="57">
        <f t="shared" si="3"/>
        <v>0</v>
      </c>
      <c r="I56" s="49" t="str">
        <f t="shared" si="14"/>
        <v xml:space="preserve"> </v>
      </c>
      <c r="J56" s="49"/>
      <c r="K56" s="49"/>
      <c r="L56" s="49" t="str">
        <f t="shared" si="13"/>
        <v xml:space="preserve"> </v>
      </c>
      <c r="M56" s="106" t="str">
        <f t="shared" si="15"/>
        <v xml:space="preserve"> </v>
      </c>
      <c r="O56" s="13" t="str">
        <f>IF(AND(C55&gt;0),"Info: External 24V needed. EN 54-4 certificate."," ")</f>
        <v xml:space="preserve"> </v>
      </c>
    </row>
    <row r="57" spans="1:15" ht="25" x14ac:dyDescent="0.25">
      <c r="A57" s="115" t="str">
        <f>'SC_Loop 1'!A57</f>
        <v>MAD-565-I - only flash (loop)</v>
      </c>
      <c r="B57" s="208" t="str">
        <f>'SC_Loop 1'!B57</f>
        <v>Addressable VAD with isolator</v>
      </c>
      <c r="C57" s="97"/>
      <c r="D57" s="20">
        <f>'SC_Loop 1'!D57</f>
        <v>1.58E-3</v>
      </c>
      <c r="E57" s="57">
        <f>C57*D57</f>
        <v>0</v>
      </c>
      <c r="F57" s="199">
        <f>C57*'System Calculation'!$I$13</f>
        <v>0</v>
      </c>
      <c r="G57" s="20">
        <f>'SC_Loop 1'!G57</f>
        <v>3.3450000000000001E-2</v>
      </c>
      <c r="H57" s="57">
        <f t="shared" si="3"/>
        <v>0</v>
      </c>
      <c r="I57" s="49" t="str">
        <f t="shared" si="14"/>
        <v xml:space="preserve"> </v>
      </c>
      <c r="J57" s="49"/>
      <c r="K57" s="49"/>
      <c r="L57" s="49" t="str">
        <f t="shared" si="13"/>
        <v xml:space="preserve"> </v>
      </c>
      <c r="M57" s="106" t="str">
        <f t="shared" si="15"/>
        <v xml:space="preserve"> </v>
      </c>
    </row>
    <row r="58" spans="1:15" ht="25" x14ac:dyDescent="0.25">
      <c r="A58" s="115" t="str">
        <f>'SC_Loop 1'!A58</f>
        <v>MAD-565-I - only flash (External PS)</v>
      </c>
      <c r="B58" s="208" t="str">
        <f>'SC_Loop 1'!B58</f>
        <v>Addressable VAD with isolator</v>
      </c>
      <c r="C58" s="97"/>
      <c r="D58" s="20">
        <f>'SC_Loop 1'!D58</f>
        <v>3.5E-4</v>
      </c>
      <c r="E58" s="57">
        <f t="shared" ref="E58" si="16">C58*D58</f>
        <v>0</v>
      </c>
      <c r="F58" s="199">
        <f>C58*'System Calculation'!$I$13</f>
        <v>0</v>
      </c>
      <c r="G58" s="20">
        <f>'SC_Loop 1'!G58</f>
        <v>8.0000000000000004E-4</v>
      </c>
      <c r="H58" s="57">
        <f t="shared" si="3"/>
        <v>0</v>
      </c>
      <c r="I58" s="49" t="str">
        <f t="shared" si="14"/>
        <v xml:space="preserve"> </v>
      </c>
      <c r="J58" s="49"/>
      <c r="K58" s="49"/>
      <c r="L58" s="49" t="str">
        <f t="shared" si="13"/>
        <v xml:space="preserve"> </v>
      </c>
      <c r="M58" s="106" t="str">
        <f t="shared" si="15"/>
        <v xml:space="preserve"> </v>
      </c>
      <c r="O58" s="13" t="str">
        <f>IF(AND(C57&gt;0),"Info: External 24V needed. EN 54-4 certificate."," ")</f>
        <v xml:space="preserve"> </v>
      </c>
    </row>
    <row r="59" spans="1:15" ht="25" x14ac:dyDescent="0.25">
      <c r="A59" s="115" t="str">
        <f>'SC_Loop 1'!A59</f>
        <v>MAD-567-I (loop)</v>
      </c>
      <c r="B59" s="208" t="str">
        <f>'SC_Loop 1'!B59</f>
        <v>Sounder base with isolator</v>
      </c>
      <c r="C59" s="97"/>
      <c r="D59" s="20">
        <f>'SC_Loop 1'!D59</f>
        <v>1.17E-3</v>
      </c>
      <c r="E59" s="57">
        <f t="shared" si="2"/>
        <v>0</v>
      </c>
      <c r="F59" s="199">
        <f>C59*'System Calculation'!$I$13</f>
        <v>0</v>
      </c>
      <c r="G59" s="20">
        <f>'SC_Loop 1'!G59</f>
        <v>8.9499999999999996E-3</v>
      </c>
      <c r="H59" s="57">
        <f t="shared" si="3"/>
        <v>0</v>
      </c>
      <c r="I59" s="49" t="str">
        <f t="shared" si="14"/>
        <v xml:space="preserve"> </v>
      </c>
      <c r="J59" s="49"/>
      <c r="K59" s="49"/>
      <c r="L59" s="49" t="str">
        <f t="shared" si="13"/>
        <v xml:space="preserve"> </v>
      </c>
      <c r="M59" s="106" t="str">
        <f t="shared" si="15"/>
        <v xml:space="preserve"> </v>
      </c>
    </row>
    <row r="60" spans="1:15" ht="25" x14ac:dyDescent="0.25">
      <c r="A60" s="115" t="str">
        <f>'SC_Loop 1'!A60</f>
        <v>MAD-567-I (External PS)</v>
      </c>
      <c r="B60" s="208" t="str">
        <f>'SC_Loop 1'!B60</f>
        <v>Sounder base with isolator</v>
      </c>
      <c r="C60" s="97"/>
      <c r="D60" s="20">
        <f>'SC_Loop 1'!D60</f>
        <v>2.61E-4</v>
      </c>
      <c r="E60" s="57">
        <f t="shared" si="2"/>
        <v>0</v>
      </c>
      <c r="F60" s="199">
        <f>C60*'System Calculation'!$I$13</f>
        <v>0</v>
      </c>
      <c r="G60" s="20">
        <f>'SC_Loop 1'!G60</f>
        <v>7.1000000000000002E-4</v>
      </c>
      <c r="H60" s="57">
        <f t="shared" si="3"/>
        <v>0</v>
      </c>
      <c r="I60" s="49" t="str">
        <f t="shared" si="14"/>
        <v xml:space="preserve"> </v>
      </c>
      <c r="J60" s="49"/>
      <c r="K60" s="49"/>
      <c r="L60" s="49" t="str">
        <f t="shared" si="13"/>
        <v xml:space="preserve"> </v>
      </c>
      <c r="M60" s="106" t="str">
        <f t="shared" si="15"/>
        <v xml:space="preserve"> </v>
      </c>
      <c r="O60" s="13" t="str">
        <f>IF(AND(C59&gt;0),"Info: External 24V needed. EN 54-4 certificate."," ")</f>
        <v xml:space="preserve"> </v>
      </c>
    </row>
    <row r="61" spans="1:15" ht="25" x14ac:dyDescent="0.25">
      <c r="A61" s="115" t="str">
        <f>'SC_Loop 1'!A61</f>
        <v>MAD-569-I (loop)</v>
      </c>
      <c r="B61" s="208" t="str">
        <f>'SC_Loop 1'!B61</f>
        <v>Sounder &amp; VAD base with isolator</v>
      </c>
      <c r="C61" s="97"/>
      <c r="D61" s="20">
        <f>'SC_Loop 1'!D61</f>
        <v>1.17E-3</v>
      </c>
      <c r="E61" s="57">
        <f t="shared" si="2"/>
        <v>0</v>
      </c>
      <c r="F61" s="199">
        <f>C61*'System Calculation'!$I$13</f>
        <v>0</v>
      </c>
      <c r="G61" s="20">
        <f>'SC_Loop 1'!G61</f>
        <v>2.3260000000000003E-2</v>
      </c>
      <c r="H61" s="57">
        <f t="shared" si="3"/>
        <v>0</v>
      </c>
      <c r="I61" s="49" t="str">
        <f t="shared" si="14"/>
        <v xml:space="preserve"> </v>
      </c>
      <c r="J61" s="49"/>
      <c r="K61" s="49"/>
      <c r="L61" s="49" t="str">
        <f t="shared" si="13"/>
        <v xml:space="preserve"> </v>
      </c>
      <c r="M61" s="106" t="str">
        <f t="shared" si="15"/>
        <v xml:space="preserve"> </v>
      </c>
    </row>
    <row r="62" spans="1:15" ht="25" x14ac:dyDescent="0.25">
      <c r="A62" s="115" t="str">
        <f>'SC_Loop 1'!A62</f>
        <v>MAD-569-I (External PS)</v>
      </c>
      <c r="B62" s="208" t="str">
        <f>'SC_Loop 1'!B62</f>
        <v>Sounder &amp; VAD base with isolator</v>
      </c>
      <c r="C62" s="97"/>
      <c r="D62" s="20">
        <f>'SC_Loop 1'!D62</f>
        <v>2.5889999999999995E-4</v>
      </c>
      <c r="E62" s="57">
        <f t="shared" si="2"/>
        <v>0</v>
      </c>
      <c r="F62" s="199">
        <f>C62*'System Calculation'!$I$13</f>
        <v>0</v>
      </c>
      <c r="G62" s="20">
        <f>'SC_Loop 1'!G62</f>
        <v>7.1000000000000002E-4</v>
      </c>
      <c r="H62" s="57">
        <f t="shared" si="3"/>
        <v>0</v>
      </c>
      <c r="I62" s="49" t="str">
        <f t="shared" si="14"/>
        <v xml:space="preserve"> </v>
      </c>
      <c r="J62" s="49"/>
      <c r="K62" s="49"/>
      <c r="L62" s="49" t="str">
        <f t="shared" si="13"/>
        <v xml:space="preserve"> </v>
      </c>
      <c r="M62" s="106" t="str">
        <f t="shared" si="15"/>
        <v xml:space="preserve"> </v>
      </c>
      <c r="O62" s="13" t="str">
        <f>IF(AND(C61&gt;0),"Info: External 24V needed. EN 54-4 certificate."," ")</f>
        <v xml:space="preserve"> </v>
      </c>
    </row>
    <row r="63" spans="1:15" ht="25" x14ac:dyDescent="0.25">
      <c r="A63" s="115" t="str">
        <f>'SC_Loop 1'!A63</f>
        <v>MAD-569-I - only flash (loop)</v>
      </c>
      <c r="B63" s="208" t="str">
        <f>'SC_Loop 1'!B63</f>
        <v>VAD base with isolator</v>
      </c>
      <c r="C63" s="97"/>
      <c r="D63" s="20">
        <f>'SC_Loop 1'!D63</f>
        <v>1.17E-3</v>
      </c>
      <c r="E63" s="57">
        <f t="shared" si="2"/>
        <v>0</v>
      </c>
      <c r="F63" s="199">
        <f>C63*'System Calculation'!$I$13</f>
        <v>0</v>
      </c>
      <c r="G63" s="20">
        <f>'SC_Loop 1'!G63</f>
        <v>2.3260000000000003E-2</v>
      </c>
      <c r="H63" s="57">
        <f t="shared" si="3"/>
        <v>0</v>
      </c>
      <c r="I63" s="49" t="str">
        <f t="shared" si="14"/>
        <v xml:space="preserve"> </v>
      </c>
      <c r="J63" s="49"/>
      <c r="K63" s="49"/>
      <c r="L63" s="49" t="str">
        <f t="shared" si="13"/>
        <v xml:space="preserve"> </v>
      </c>
      <c r="M63" s="106" t="str">
        <f t="shared" si="15"/>
        <v xml:space="preserve"> </v>
      </c>
    </row>
    <row r="64" spans="1:15" ht="25" x14ac:dyDescent="0.25">
      <c r="A64" s="115" t="str">
        <f>'SC_Loop 1'!A64</f>
        <v>MAD-569-I only flash (External PS)</v>
      </c>
      <c r="B64" s="208" t="str">
        <f>'SC_Loop 1'!B64</f>
        <v>VAD base with isolator</v>
      </c>
      <c r="C64" s="97"/>
      <c r="D64" s="20">
        <f>'SC_Loop 1'!D64</f>
        <v>2.5889999999999995E-4</v>
      </c>
      <c r="E64" s="57">
        <f t="shared" si="2"/>
        <v>0</v>
      </c>
      <c r="F64" s="199">
        <f>C64*'System Calculation'!$I$13</f>
        <v>0</v>
      </c>
      <c r="G64" s="20">
        <f>'SC_Loop 1'!G64</f>
        <v>7.1000000000000002E-4</v>
      </c>
      <c r="H64" s="57">
        <f t="shared" si="3"/>
        <v>0</v>
      </c>
      <c r="I64" s="49" t="str">
        <f t="shared" si="14"/>
        <v xml:space="preserve"> </v>
      </c>
      <c r="J64" s="49"/>
      <c r="K64" s="49"/>
      <c r="L64" s="49" t="str">
        <f t="shared" si="13"/>
        <v xml:space="preserve"> </v>
      </c>
      <c r="M64" s="106" t="str">
        <f t="shared" si="15"/>
        <v xml:space="preserve"> </v>
      </c>
      <c r="O64" s="13" t="str">
        <f>IF(AND(C63&gt;0),"Info: External 24V needed. EN 54-4 certificate."," ")</f>
        <v xml:space="preserve"> </v>
      </c>
    </row>
    <row r="65" spans="1:15" x14ac:dyDescent="0.25">
      <c r="A65" s="115" t="str">
        <f>'SC_Loop 1'!A65</f>
        <v>MAD-472</v>
      </c>
      <c r="B65" s="208" t="str">
        <f>'SC_Loop 1'!B65</f>
        <v>Sounder base</v>
      </c>
      <c r="C65" s="97"/>
      <c r="D65" s="20">
        <f>'SC_Loop 1'!D65</f>
        <v>1.0739999999999999E-4</v>
      </c>
      <c r="E65" s="57">
        <f>C65*D65</f>
        <v>0</v>
      </c>
      <c r="F65" s="199">
        <f>C65*'System Calculation'!$I$13</f>
        <v>0</v>
      </c>
      <c r="G65" s="20">
        <f>'SC_Loop 1'!G65</f>
        <v>8.4499999999999992E-3</v>
      </c>
      <c r="H65" s="57">
        <f t="shared" si="3"/>
        <v>0</v>
      </c>
      <c r="I65" s="49" t="str">
        <f t="shared" si="14"/>
        <v xml:space="preserve"> </v>
      </c>
      <c r="J65" s="49"/>
      <c r="K65" s="49"/>
      <c r="L65" s="49" t="str">
        <f t="shared" si="13"/>
        <v xml:space="preserve"> </v>
      </c>
      <c r="M65" s="106" t="str">
        <f t="shared" si="15"/>
        <v xml:space="preserve"> </v>
      </c>
      <c r="O65" s="13" t="str">
        <f>IF(AND(C65&gt;0),"Info: External 24V needed. EN 54-4 certificate."," ")</f>
        <v xml:space="preserve"> </v>
      </c>
    </row>
    <row r="66" spans="1:15" ht="25" x14ac:dyDescent="0.25">
      <c r="A66" s="115" t="str">
        <f>'SC_Loop 1'!A66</f>
        <v>MAD-473</v>
      </c>
      <c r="B66" s="208" t="str">
        <f>'SC_Loop 1'!B66</f>
        <v>Sounder base with flash</v>
      </c>
      <c r="C66" s="97"/>
      <c r="D66" s="20">
        <f>'SC_Loop 1'!D66</f>
        <v>1.0679999999999999E-4</v>
      </c>
      <c r="E66" s="57">
        <f t="shared" si="2"/>
        <v>0</v>
      </c>
      <c r="F66" s="199">
        <f>C66*'System Calculation'!$I$13</f>
        <v>0</v>
      </c>
      <c r="G66" s="20">
        <f>'SC_Loop 1'!G66</f>
        <v>9.4800000000000006E-3</v>
      </c>
      <c r="H66" s="57">
        <f t="shared" si="3"/>
        <v>0</v>
      </c>
      <c r="I66" s="49" t="str">
        <f t="shared" si="14"/>
        <v xml:space="preserve"> </v>
      </c>
      <c r="J66" s="49"/>
      <c r="K66" s="49"/>
      <c r="L66" s="49" t="str">
        <f t="shared" si="13"/>
        <v xml:space="preserve"> </v>
      </c>
      <c r="M66" s="106" t="str">
        <f t="shared" si="15"/>
        <v xml:space="preserve"> </v>
      </c>
    </row>
    <row r="67" spans="1:15" ht="25" x14ac:dyDescent="0.25">
      <c r="A67" s="115" t="str">
        <f>'SC_Loop 1'!A67</f>
        <v>MAD-481</v>
      </c>
      <c r="B67" s="208" t="str">
        <f>'SC_Loop 1'!B67</f>
        <v>1 output 230V addressable module</v>
      </c>
      <c r="C67" s="97"/>
      <c r="D67" s="20">
        <f>'SC_Loop 1'!D67</f>
        <v>2.9999999999999997E-4</v>
      </c>
      <c r="E67" s="57">
        <f t="shared" si="2"/>
        <v>0</v>
      </c>
      <c r="F67" s="199">
        <f>C67*'System Calculation'!$I$14</f>
        <v>0</v>
      </c>
      <c r="G67" s="20">
        <f>'SC_Loop 1'!G67</f>
        <v>3.0000000000000001E-3</v>
      </c>
      <c r="H67" s="57">
        <f t="shared" si="3"/>
        <v>0</v>
      </c>
      <c r="I67" s="49"/>
      <c r="J67" s="49"/>
      <c r="K67" s="49" t="str">
        <f>IF(C67&lt;&gt;0,C67," ")</f>
        <v xml:space="preserve"> </v>
      </c>
      <c r="L67" s="49"/>
      <c r="M67" s="106" t="str">
        <f>IF(K67&lt;&gt;0,K67," ")</f>
        <v xml:space="preserve"> </v>
      </c>
    </row>
    <row r="68" spans="1:15" ht="37.5" x14ac:dyDescent="0.25">
      <c r="A68" s="115" t="str">
        <f>'SC_Loop 1'!A68</f>
        <v>MAD-481-I</v>
      </c>
      <c r="B68" s="208" t="str">
        <f>'SC_Loop 1'!B68</f>
        <v>1 output 230V addressable module with isolator</v>
      </c>
      <c r="C68" s="97"/>
      <c r="D68" s="20">
        <f>'SC_Loop 1'!D68</f>
        <v>2.9999999999999997E-4</v>
      </c>
      <c r="E68" s="57">
        <f t="shared" si="2"/>
        <v>0</v>
      </c>
      <c r="F68" s="199">
        <f>C68*'System Calculation'!$I$14</f>
        <v>0</v>
      </c>
      <c r="G68" s="20">
        <f>'SC_Loop 1'!G68</f>
        <v>3.0000000000000001E-3</v>
      </c>
      <c r="H68" s="57">
        <f t="shared" si="3"/>
        <v>0</v>
      </c>
      <c r="I68" s="49"/>
      <c r="J68" s="49"/>
      <c r="K68" s="49" t="str">
        <f>IF(C68&lt;&gt;0,C68," ")</f>
        <v xml:space="preserve"> </v>
      </c>
      <c r="L68" s="49"/>
      <c r="M68" s="106" t="str">
        <f t="shared" ref="M68:M69" si="17">IF(K68&lt;&gt;0,K68," ")</f>
        <v xml:space="preserve"> </v>
      </c>
      <c r="O68" s="13"/>
    </row>
    <row r="69" spans="1:15" x14ac:dyDescent="0.25">
      <c r="A69" s="115" t="str">
        <f>'SC_Loop 1'!A69</f>
        <v>MAD-490</v>
      </c>
      <c r="B69" s="208" t="str">
        <f>'SC_Loop 1'!B69</f>
        <v>Isolator module</v>
      </c>
      <c r="C69" s="97"/>
      <c r="D69" s="20">
        <f>'SC_Loop 1'!D69</f>
        <v>6.9599999999999998E-5</v>
      </c>
      <c r="E69" s="57">
        <f t="shared" si="2"/>
        <v>0</v>
      </c>
      <c r="F69" s="199">
        <f>C69*'System Calculation'!$I$14</f>
        <v>0</v>
      </c>
      <c r="G69" s="20">
        <f>'SC_Loop 1'!G69</f>
        <v>3.7659999999999999E-2</v>
      </c>
      <c r="H69" s="57">
        <f t="shared" si="3"/>
        <v>0</v>
      </c>
      <c r="I69" s="49"/>
      <c r="J69" s="49"/>
      <c r="K69" s="49" t="str">
        <f>IF(C69&lt;&gt;0,C69," ")</f>
        <v xml:space="preserve"> </v>
      </c>
      <c r="L69" s="49"/>
      <c r="M69" s="106" t="str">
        <f t="shared" si="17"/>
        <v xml:space="preserve"> </v>
      </c>
    </row>
    <row r="70" spans="1:15" ht="25" x14ac:dyDescent="0.25">
      <c r="A70" s="115" t="str">
        <f>'SC_Loop 1'!A70</f>
        <v>PAD-10A-I</v>
      </c>
      <c r="B70" s="208" t="str">
        <f>'SC_Loop 1'!B70</f>
        <v>Remote indicator with isolator</v>
      </c>
      <c r="C70" s="97"/>
      <c r="D70" s="20">
        <f>'SC_Loop 1'!D70</f>
        <v>1.7640000000000001E-4</v>
      </c>
      <c r="E70" s="57">
        <f t="shared" si="2"/>
        <v>0</v>
      </c>
      <c r="F70" s="199">
        <f>IF(C70&gt;10,10,C70)</f>
        <v>0</v>
      </c>
      <c r="G70" s="20">
        <f>'SC_Loop 1'!G70</f>
        <v>2.98E-3</v>
      </c>
      <c r="H70" s="57">
        <f t="shared" si="3"/>
        <v>0</v>
      </c>
      <c r="I70" s="49"/>
      <c r="J70" s="49" t="str">
        <f t="shared" ref="J70" si="18">IF(C70&lt;&gt;0,C70," ")</f>
        <v xml:space="preserve"> </v>
      </c>
      <c r="K70" s="49"/>
      <c r="L70" s="49"/>
      <c r="M70" s="106" t="str">
        <f t="shared" si="4"/>
        <v xml:space="preserve"> </v>
      </c>
    </row>
    <row r="71" spans="1:15" ht="37.5" x14ac:dyDescent="0.25">
      <c r="A71" s="115" t="str">
        <f>'SC_Loop 1'!A71</f>
        <v>TPLD-100 (CCD-102) = 3 loop address</v>
      </c>
      <c r="B71" s="208" t="str">
        <f>'SC_Loop 1'!B71</f>
        <v>2 zones fire alarm control panel connected to loop</v>
      </c>
      <c r="C71" s="97"/>
      <c r="D71" s="20">
        <f>'SC_Loop 1'!D71</f>
        <v>1.8629999999999999E-3</v>
      </c>
      <c r="E71" s="57">
        <f t="shared" si="2"/>
        <v>0</v>
      </c>
      <c r="F71" s="199">
        <f>C71</f>
        <v>0</v>
      </c>
      <c r="G71" s="20">
        <f>'SC_Loop 1'!G71</f>
        <v>1.8600000000000001E-3</v>
      </c>
      <c r="H71" s="57">
        <f t="shared" si="3"/>
        <v>0</v>
      </c>
      <c r="I71" s="49"/>
      <c r="J71" s="49"/>
      <c r="K71" s="49"/>
      <c r="L71" s="49"/>
      <c r="M71" s="106" t="str">
        <f>IF(C75&lt;&gt;0,3*C75," ")</f>
        <v xml:space="preserve"> </v>
      </c>
    </row>
    <row r="72" spans="1:15" ht="37.5" x14ac:dyDescent="0.25">
      <c r="A72" s="115" t="str">
        <f>'SC_Loop 1'!A72</f>
        <v>TPLD-100 (CCD-104) = 5 loop address</v>
      </c>
      <c r="B72" s="208" t="str">
        <f>'SC_Loop 1'!B72</f>
        <v>4 zones fire alarm control panel connected to loop</v>
      </c>
      <c r="C72" s="97"/>
      <c r="D72" s="20">
        <f>'SC_Loop 1'!D72</f>
        <v>1.8629999999999999E-3</v>
      </c>
      <c r="E72" s="57">
        <f t="shared" si="2"/>
        <v>0</v>
      </c>
      <c r="F72" s="199">
        <f t="shared" ref="F72:F75" si="19">C72</f>
        <v>0</v>
      </c>
      <c r="G72" s="20">
        <f>'SC_Loop 1'!G72</f>
        <v>1.8600000000000001E-3</v>
      </c>
      <c r="H72" s="57">
        <f t="shared" si="3"/>
        <v>0</v>
      </c>
      <c r="I72" s="49"/>
      <c r="J72" s="49"/>
      <c r="K72" s="49"/>
      <c r="L72" s="49"/>
      <c r="M72" s="106" t="str">
        <f>IF(C75&lt;&gt;0,5*C75," ")</f>
        <v xml:space="preserve"> </v>
      </c>
    </row>
    <row r="73" spans="1:15" ht="37.5" x14ac:dyDescent="0.25">
      <c r="A73" s="115" t="str">
        <f>'SC_Loop 1'!A73</f>
        <v>TPLD-100 (CCD-108) = 9 loop address</v>
      </c>
      <c r="B73" s="208" t="str">
        <f>'SC_Loop 1'!B73</f>
        <v>8 zones fire alarm control panel connected to loop</v>
      </c>
      <c r="C73" s="97"/>
      <c r="D73" s="20">
        <f>'SC_Loop 1'!D73</f>
        <v>1.8629999999999999E-3</v>
      </c>
      <c r="E73" s="57">
        <f t="shared" si="2"/>
        <v>0</v>
      </c>
      <c r="F73" s="199">
        <f t="shared" si="19"/>
        <v>0</v>
      </c>
      <c r="G73" s="20">
        <f>'SC_Loop 1'!G73</f>
        <v>1.8600000000000001E-3</v>
      </c>
      <c r="H73" s="57">
        <f t="shared" si="3"/>
        <v>0</v>
      </c>
      <c r="I73" s="49"/>
      <c r="J73" s="49"/>
      <c r="K73" s="49"/>
      <c r="L73" s="49"/>
      <c r="M73" s="106" t="str">
        <f>IF(C75&lt;&gt;0,9*C75," ")</f>
        <v xml:space="preserve"> </v>
      </c>
    </row>
    <row r="74" spans="1:15" ht="37.5" x14ac:dyDescent="0.25">
      <c r="A74" s="115" t="str">
        <f>'SC_Loop 1'!A74</f>
        <v>TPLD-100 (CCD-112) = 13 loop address</v>
      </c>
      <c r="B74" s="208" t="str">
        <f>'SC_Loop 1'!B74</f>
        <v>12 zones fire alarm control panel connected to loop</v>
      </c>
      <c r="C74" s="97"/>
      <c r="D74" s="20">
        <f>'SC_Loop 1'!D74</f>
        <v>1.8629999999999999E-3</v>
      </c>
      <c r="E74" s="57">
        <f t="shared" si="2"/>
        <v>0</v>
      </c>
      <c r="F74" s="199">
        <f t="shared" si="19"/>
        <v>0</v>
      </c>
      <c r="G74" s="20">
        <f>'SC_Loop 1'!G74</f>
        <v>1.8600000000000001E-3</v>
      </c>
      <c r="H74" s="57">
        <f t="shared" si="3"/>
        <v>0</v>
      </c>
      <c r="I74" s="49"/>
      <c r="J74" s="49"/>
      <c r="K74" s="49"/>
      <c r="L74" s="49"/>
      <c r="M74" s="106" t="str">
        <f>IF(C75&lt;&gt;0,13*C75," ")</f>
        <v xml:space="preserve"> </v>
      </c>
    </row>
    <row r="75" spans="1:15" ht="38.5" thickBot="1" x14ac:dyDescent="0.35">
      <c r="A75" s="115" t="str">
        <f>'SC_Loop 1'!A75</f>
        <v>TPLD-100 (CCD-103) = 7 loop address</v>
      </c>
      <c r="B75" s="208" t="str">
        <f>'SC_Loop 1'!B75</f>
        <v>Extinguishing control panel connected to loop</v>
      </c>
      <c r="C75" s="97"/>
      <c r="D75" s="171">
        <f>'SC_Loop 1'!D75</f>
        <v>1.8629999999999999E-3</v>
      </c>
      <c r="E75" s="111">
        <f t="shared" si="2"/>
        <v>0</v>
      </c>
      <c r="F75" s="199">
        <f t="shared" si="19"/>
        <v>0</v>
      </c>
      <c r="G75" s="171">
        <f>'SC_Loop 1'!G75</f>
        <v>1.8600000000000001E-3</v>
      </c>
      <c r="H75" s="111">
        <f t="shared" si="3"/>
        <v>0</v>
      </c>
      <c r="I75" s="39"/>
      <c r="J75" s="39"/>
      <c r="K75" s="39"/>
      <c r="L75" s="121"/>
      <c r="M75" s="112" t="str">
        <f>IF(C75&lt;&gt;0,7*C75," ")</f>
        <v xml:space="preserve"> </v>
      </c>
    </row>
    <row r="76" spans="1:15" s="7" customFormat="1" ht="13.5" thickBot="1" x14ac:dyDescent="0.35">
      <c r="A76" s="15" t="s">
        <v>8</v>
      </c>
      <c r="B76" s="205"/>
      <c r="C76" s="62">
        <f>SUM(C15:C69)+SUM(M72:M75)</f>
        <v>0</v>
      </c>
      <c r="D76" s="213"/>
      <c r="E76" s="59">
        <f>SUM(E15:E75)</f>
        <v>0</v>
      </c>
      <c r="F76" s="61">
        <f>SUM(F15:F69)</f>
        <v>0</v>
      </c>
      <c r="G76" s="212"/>
      <c r="H76" s="59">
        <f t="shared" ref="H76:M76" si="20">SUM(H15:H75)</f>
        <v>0</v>
      </c>
      <c r="I76" s="59">
        <f t="shared" si="20"/>
        <v>0</v>
      </c>
      <c r="J76" s="62">
        <f t="shared" si="20"/>
        <v>0</v>
      </c>
      <c r="K76" s="62">
        <f t="shared" si="20"/>
        <v>0</v>
      </c>
      <c r="L76" s="62">
        <f t="shared" si="20"/>
        <v>0</v>
      </c>
      <c r="M76" s="122">
        <f t="shared" si="20"/>
        <v>0</v>
      </c>
      <c r="O76"/>
    </row>
    <row r="77" spans="1:15" s="7" customFormat="1" ht="13" x14ac:dyDescent="0.3">
      <c r="C77" s="102"/>
      <c r="D77" s="103"/>
      <c r="E77" s="104"/>
      <c r="F77" s="105"/>
      <c r="G77" s="104"/>
      <c r="H77" s="104"/>
      <c r="I77" s="104"/>
      <c r="J77" s="104"/>
      <c r="K77" s="104"/>
      <c r="L77" s="102"/>
      <c r="M77" s="102"/>
    </row>
    <row r="78" spans="1:15" ht="14.4" customHeight="1" thickBot="1" x14ac:dyDescent="0.35">
      <c r="F78" s="26"/>
      <c r="L78" s="130" t="str">
        <f>IF($M$76&gt;250,"Error: The Loop cannot contain more than 250 addresses","")</f>
        <v/>
      </c>
      <c r="O78" s="7"/>
    </row>
    <row r="79" spans="1:15" ht="14.4" customHeight="1" thickBot="1" x14ac:dyDescent="0.35">
      <c r="A79" s="15" t="s">
        <v>136</v>
      </c>
      <c r="B79" s="113"/>
      <c r="C79" s="114"/>
      <c r="D79" s="26"/>
    </row>
    <row r="80" spans="1:15" ht="14.4" customHeight="1" x14ac:dyDescent="0.3">
      <c r="A80" s="96" t="s">
        <v>137</v>
      </c>
      <c r="B80" s="120">
        <v>1.72E-2</v>
      </c>
      <c r="C80" s="117" t="s">
        <v>138</v>
      </c>
      <c r="D80" s="26"/>
    </row>
    <row r="81" spans="1:12" ht="14.4" customHeight="1" x14ac:dyDescent="0.3">
      <c r="A81" s="21" t="s">
        <v>139</v>
      </c>
      <c r="B81" s="119">
        <f>E76</f>
        <v>0</v>
      </c>
      <c r="C81" s="95" t="s">
        <v>9</v>
      </c>
      <c r="D81" s="26"/>
    </row>
    <row r="82" spans="1:12" ht="14.4" customHeight="1" x14ac:dyDescent="0.3">
      <c r="A82" s="21" t="s">
        <v>140</v>
      </c>
      <c r="B82" s="119">
        <f>H76-I76</f>
        <v>0</v>
      </c>
      <c r="C82" s="95" t="s">
        <v>9</v>
      </c>
      <c r="D82" s="26"/>
    </row>
    <row r="83" spans="1:12" ht="14.4" customHeight="1" x14ac:dyDescent="0.3">
      <c r="A83" s="21" t="s">
        <v>141</v>
      </c>
      <c r="B83" s="119">
        <f>I76</f>
        <v>0</v>
      </c>
      <c r="C83" s="95" t="s">
        <v>9</v>
      </c>
      <c r="D83" s="26"/>
    </row>
    <row r="84" spans="1:12" ht="14.4" customHeight="1" x14ac:dyDescent="0.3">
      <c r="A84" s="21" t="s">
        <v>142</v>
      </c>
      <c r="B84" s="119">
        <f>SUM(B82:B83)</f>
        <v>0</v>
      </c>
      <c r="C84" s="95" t="s">
        <v>9</v>
      </c>
      <c r="D84" s="26"/>
    </row>
    <row r="85" spans="1:12" ht="14.4" customHeight="1" thickBot="1" x14ac:dyDescent="0.35">
      <c r="A85" s="22" t="s">
        <v>143</v>
      </c>
      <c r="B85" s="107">
        <v>6.9</v>
      </c>
      <c r="C85" s="28" t="s">
        <v>144</v>
      </c>
      <c r="D85" s="26"/>
    </row>
    <row r="86" spans="1:12" ht="14.4" customHeight="1" thickBot="1" x14ac:dyDescent="0.35">
      <c r="A86" s="13"/>
      <c r="E86" s="26"/>
    </row>
    <row r="87" spans="1:12" ht="14.4" customHeight="1" thickBot="1" x14ac:dyDescent="0.35">
      <c r="A87" s="8" t="s">
        <v>154</v>
      </c>
      <c r="B87" s="127"/>
      <c r="C87" s="127"/>
      <c r="D87" s="127"/>
      <c r="E87" s="139"/>
      <c r="F87" s="127"/>
      <c r="G87" s="127"/>
      <c r="H87" s="127"/>
      <c r="I87" s="127"/>
      <c r="J87" s="127"/>
      <c r="K87" s="128"/>
      <c r="L87" s="131" t="s">
        <v>150</v>
      </c>
    </row>
    <row r="88" spans="1:12" ht="14.4" customHeight="1" x14ac:dyDescent="0.25">
      <c r="A88" s="145" t="s">
        <v>155</v>
      </c>
      <c r="B88" s="41">
        <v>1000</v>
      </c>
      <c r="C88" s="41">
        <v>1500</v>
      </c>
      <c r="D88" s="41"/>
      <c r="E88" s="41">
        <v>2000</v>
      </c>
      <c r="F88" s="41"/>
      <c r="G88" s="41"/>
      <c r="H88" s="41">
        <v>2500</v>
      </c>
      <c r="I88" s="41">
        <v>3000</v>
      </c>
      <c r="J88" s="141">
        <v>3500</v>
      </c>
      <c r="K88" s="132" t="s">
        <v>151</v>
      </c>
    </row>
    <row r="89" spans="1:12" ht="14.4" customHeight="1" x14ac:dyDescent="0.25">
      <c r="A89" s="48" t="s">
        <v>156</v>
      </c>
      <c r="B89" s="134" t="e">
        <f>((($B$80*B88)/B91)*2)</f>
        <v>#DIV/0!</v>
      </c>
      <c r="C89" s="134" t="e">
        <f t="shared" ref="C89" si="21">((($B$80*C88)/C91)*2)</f>
        <v>#DIV/0!</v>
      </c>
      <c r="D89" s="134"/>
      <c r="E89" s="134" t="e">
        <f t="shared" ref="E89:J89" si="22">((($B$80*E88)/E91)*2)</f>
        <v>#DIV/0!</v>
      </c>
      <c r="F89" s="134" t="e">
        <f t="shared" si="22"/>
        <v>#DIV/0!</v>
      </c>
      <c r="G89" s="134"/>
      <c r="H89" s="134" t="e">
        <f t="shared" si="22"/>
        <v>#DIV/0!</v>
      </c>
      <c r="I89" s="134" t="e">
        <f t="shared" si="22"/>
        <v>#DIV/0!</v>
      </c>
      <c r="J89" s="134" t="e">
        <f t="shared" si="22"/>
        <v>#DIV/0!</v>
      </c>
      <c r="K89" s="133" t="s">
        <v>152</v>
      </c>
    </row>
    <row r="90" spans="1:12" ht="14.4" customHeight="1" thickBot="1" x14ac:dyDescent="0.3">
      <c r="A90" s="144" t="s">
        <v>157</v>
      </c>
      <c r="B90" s="134" t="e">
        <f>B89/2</f>
        <v>#DIV/0!</v>
      </c>
      <c r="C90" s="134" t="e">
        <f t="shared" ref="C90" si="23">C89/2</f>
        <v>#DIV/0!</v>
      </c>
      <c r="D90" s="134"/>
      <c r="E90" s="134" t="e">
        <f t="shared" ref="E90:F90" si="24">E89/2</f>
        <v>#DIV/0!</v>
      </c>
      <c r="F90" s="134" t="e">
        <f t="shared" si="24"/>
        <v>#DIV/0!</v>
      </c>
      <c r="G90" s="134"/>
      <c r="H90" s="134" t="e">
        <f>H89/2</f>
        <v>#DIV/0!</v>
      </c>
      <c r="I90" s="134" t="e">
        <f>I89/2</f>
        <v>#DIV/0!</v>
      </c>
      <c r="J90" s="134" t="e">
        <f>J89/2</f>
        <v>#DIV/0!</v>
      </c>
      <c r="K90" s="143" t="s">
        <v>152</v>
      </c>
    </row>
    <row r="91" spans="1:12" ht="14.4" customHeight="1" thickBot="1" x14ac:dyDescent="0.35">
      <c r="A91" s="15" t="s">
        <v>158</v>
      </c>
      <c r="B91" s="168" t="e">
        <f t="shared" ref="B91:J91" si="25">IF((($B$80*B$88)/(($B$85-((SUM($C$16,$C$18,$C$20,$C$22)*0.155)*$B$84))/$B$84))&lt;0.5,0.5,(($B$80*B$88)/(($B$85-((SUM($C$16,$C$18,$C$20,$C$22)*0.155)*$B$84))/$B$84)))</f>
        <v>#DIV/0!</v>
      </c>
      <c r="C91" s="168" t="e">
        <f t="shared" si="25"/>
        <v>#DIV/0!</v>
      </c>
      <c r="D91" s="168" t="e">
        <f t="shared" si="25"/>
        <v>#DIV/0!</v>
      </c>
      <c r="E91" s="168" t="e">
        <f t="shared" si="25"/>
        <v>#DIV/0!</v>
      </c>
      <c r="F91" s="168" t="e">
        <f t="shared" si="25"/>
        <v>#DIV/0!</v>
      </c>
      <c r="G91" s="168" t="e">
        <f t="shared" si="25"/>
        <v>#DIV/0!</v>
      </c>
      <c r="H91" s="168" t="e">
        <f t="shared" si="25"/>
        <v>#DIV/0!</v>
      </c>
      <c r="I91" s="168" t="e">
        <f t="shared" si="25"/>
        <v>#DIV/0!</v>
      </c>
      <c r="J91" s="168" t="e">
        <f t="shared" si="25"/>
        <v>#DIV/0!</v>
      </c>
      <c r="K91" s="94" t="s">
        <v>130</v>
      </c>
    </row>
    <row r="92" spans="1:12" ht="14.4" customHeight="1" thickBot="1" x14ac:dyDescent="0.35">
      <c r="A92" s="13"/>
      <c r="E92" s="26"/>
    </row>
    <row r="93" spans="1:12" ht="14.4" customHeight="1" thickBot="1" x14ac:dyDescent="0.35">
      <c r="A93" s="8" t="s">
        <v>159</v>
      </c>
      <c r="B93" s="127"/>
      <c r="C93" s="127"/>
      <c r="D93" s="127"/>
      <c r="E93" s="139"/>
      <c r="F93" s="127"/>
      <c r="G93" s="127"/>
      <c r="H93" s="127"/>
      <c r="I93" s="127"/>
      <c r="J93" s="127"/>
      <c r="K93" s="128"/>
      <c r="L93" s="131" t="s">
        <v>153</v>
      </c>
    </row>
    <row r="94" spans="1:12" ht="14.4" customHeight="1" x14ac:dyDescent="0.25">
      <c r="A94" s="132" t="s">
        <v>160</v>
      </c>
      <c r="B94" s="37">
        <v>0.5</v>
      </c>
      <c r="C94" s="41">
        <v>0.75</v>
      </c>
      <c r="D94" s="41"/>
      <c r="E94" s="41">
        <v>1</v>
      </c>
      <c r="F94" s="41"/>
      <c r="G94" s="41"/>
      <c r="H94" s="41">
        <v>1.5</v>
      </c>
      <c r="I94" s="41">
        <v>2.5</v>
      </c>
      <c r="J94" s="141">
        <v>4</v>
      </c>
      <c r="K94" s="132" t="s">
        <v>130</v>
      </c>
    </row>
    <row r="95" spans="1:12" ht="14.4" customHeight="1" x14ac:dyDescent="0.25">
      <c r="A95" s="140" t="s">
        <v>156</v>
      </c>
      <c r="B95" s="134" t="e">
        <f t="shared" ref="B95:J95" si="26">$B$80*B97/B94*2</f>
        <v>#DIV/0!</v>
      </c>
      <c r="C95" s="134" t="e">
        <f t="shared" si="26"/>
        <v>#DIV/0!</v>
      </c>
      <c r="D95" s="134"/>
      <c r="E95" s="134" t="e">
        <f t="shared" ref="E95" si="27">$B$80*E97/E94*2</f>
        <v>#DIV/0!</v>
      </c>
      <c r="F95" s="134" t="e">
        <f t="shared" si="26"/>
        <v>#DIV/0!</v>
      </c>
      <c r="G95" s="134"/>
      <c r="H95" s="134" t="e">
        <f t="shared" si="26"/>
        <v>#DIV/0!</v>
      </c>
      <c r="I95" s="134" t="e">
        <f t="shared" si="26"/>
        <v>#DIV/0!</v>
      </c>
      <c r="J95" s="134" t="e">
        <f t="shared" si="26"/>
        <v>#DIV/0!</v>
      </c>
      <c r="K95" s="133" t="s">
        <v>152</v>
      </c>
    </row>
    <row r="96" spans="1:12" ht="14.4" customHeight="1" thickBot="1" x14ac:dyDescent="0.3">
      <c r="A96" s="142" t="s">
        <v>157</v>
      </c>
      <c r="B96" s="134" t="e">
        <f>B95/2</f>
        <v>#DIV/0!</v>
      </c>
      <c r="C96" s="134" t="e">
        <f t="shared" ref="C96" si="28">C95/2</f>
        <v>#DIV/0!</v>
      </c>
      <c r="D96" s="134"/>
      <c r="E96" s="134" t="e">
        <f t="shared" ref="E96:F96" si="29">E95/2</f>
        <v>#DIV/0!</v>
      </c>
      <c r="F96" s="134" t="e">
        <f t="shared" si="29"/>
        <v>#DIV/0!</v>
      </c>
      <c r="G96" s="134"/>
      <c r="H96" s="134" t="e">
        <f>H95/2</f>
        <v>#DIV/0!</v>
      </c>
      <c r="I96" s="134" t="e">
        <f>I95/2</f>
        <v>#DIV/0!</v>
      </c>
      <c r="J96" s="134" t="e">
        <f>J95/2</f>
        <v>#DIV/0!</v>
      </c>
      <c r="K96" s="143" t="s">
        <v>152</v>
      </c>
    </row>
    <row r="97" spans="1:13" ht="14.4" customHeight="1" thickBot="1" x14ac:dyDescent="0.35">
      <c r="A97" s="94" t="s">
        <v>161</v>
      </c>
      <c r="B97" s="168" t="e">
        <f t="shared" ref="B97:J97" si="30">IF((((($B$85-((SUM($C$16,$C$18,$C$20,$C$22)*0.155)*$B$84))/$B$84)*B$94)/$B$80)&gt;3500,3500,(((($B$85-((SUM($C$16,$C$18,$C$20,$C$22)*0.155)*$B$84))/$B$84)*B$94)/$B$80))</f>
        <v>#DIV/0!</v>
      </c>
      <c r="C97" s="168" t="e">
        <f t="shared" si="30"/>
        <v>#DIV/0!</v>
      </c>
      <c r="D97" s="168" t="e">
        <f t="shared" si="30"/>
        <v>#DIV/0!</v>
      </c>
      <c r="E97" s="168" t="e">
        <f t="shared" si="30"/>
        <v>#DIV/0!</v>
      </c>
      <c r="F97" s="168" t="e">
        <f t="shared" si="30"/>
        <v>#DIV/0!</v>
      </c>
      <c r="G97" s="168" t="e">
        <f t="shared" si="30"/>
        <v>#DIV/0!</v>
      </c>
      <c r="H97" s="168" t="e">
        <f t="shared" si="30"/>
        <v>#DIV/0!</v>
      </c>
      <c r="I97" s="168" t="e">
        <f t="shared" si="30"/>
        <v>#DIV/0!</v>
      </c>
      <c r="J97" s="168" t="e">
        <f t="shared" si="30"/>
        <v>#DIV/0!</v>
      </c>
      <c r="K97" s="94" t="s">
        <v>151</v>
      </c>
    </row>
    <row r="98" spans="1:13" ht="14.4" customHeight="1" thickBot="1" x14ac:dyDescent="0.35">
      <c r="A98" s="13"/>
      <c r="E98" s="26"/>
    </row>
    <row r="99" spans="1:13" ht="14.4" customHeight="1" thickBot="1" x14ac:dyDescent="0.35">
      <c r="A99" s="8" t="s">
        <v>162</v>
      </c>
      <c r="B99" s="127"/>
      <c r="C99" s="128"/>
      <c r="D99" s="26"/>
    </row>
    <row r="100" spans="1:13" ht="14.4" customHeight="1" x14ac:dyDescent="0.3">
      <c r="A100" s="96" t="s">
        <v>163</v>
      </c>
      <c r="B100" s="41">
        <f>$B$8</f>
        <v>1.5</v>
      </c>
      <c r="C100" s="98" t="s">
        <v>130</v>
      </c>
      <c r="D100" s="26"/>
      <c r="G100" s="130" t="str">
        <f>IF(B100&lt;0.5,"Error: The Minimum Cable Seccion in the Loop is 0,5 mm2","")</f>
        <v/>
      </c>
    </row>
    <row r="101" spans="1:13" ht="14.4" customHeight="1" x14ac:dyDescent="0.3">
      <c r="A101" s="21" t="s">
        <v>164</v>
      </c>
      <c r="B101" s="49">
        <f>$B$9</f>
        <v>1000</v>
      </c>
      <c r="C101" s="95" t="s">
        <v>130</v>
      </c>
      <c r="D101" s="26"/>
      <c r="G101" s="130" t="str">
        <f>IF(B101&gt;3500,"Error: The Maximum Lenght in the Line is 3500 meters","")</f>
        <v/>
      </c>
    </row>
    <row r="102" spans="1:13" ht="14.4" customHeight="1" x14ac:dyDescent="0.3">
      <c r="A102" s="21" t="s">
        <v>165</v>
      </c>
      <c r="B102" s="136">
        <f>((($B$80*B101)/B100)*2)+(SUM(C16,C18,C20,C22,)*0.155)</f>
        <v>22.933333333333334</v>
      </c>
      <c r="C102" s="106" t="s">
        <v>152</v>
      </c>
      <c r="D102" s="26"/>
    </row>
    <row r="103" spans="1:13" ht="14.4" customHeight="1" thickBot="1" x14ac:dyDescent="0.35">
      <c r="A103" s="22" t="s">
        <v>166</v>
      </c>
      <c r="B103" s="135">
        <f>B102/2</f>
        <v>11.466666666666667</v>
      </c>
      <c r="C103" s="108" t="s">
        <v>152</v>
      </c>
      <c r="D103" s="26"/>
    </row>
    <row r="104" spans="1:13" ht="14.4" customHeight="1" thickBot="1" x14ac:dyDescent="0.35">
      <c r="A104" s="146" t="s">
        <v>167</v>
      </c>
      <c r="B104" s="147">
        <f>$B$85/$B$103</f>
        <v>0.6017441860465117</v>
      </c>
      <c r="C104" s="147" t="s">
        <v>9</v>
      </c>
      <c r="D104" s="26"/>
    </row>
    <row r="105" spans="1:13" ht="14.4" customHeight="1" thickBot="1" x14ac:dyDescent="0.35">
      <c r="A105" s="8" t="s">
        <v>133</v>
      </c>
      <c r="B105" s="127"/>
      <c r="C105" s="128"/>
      <c r="D105" s="26"/>
    </row>
    <row r="106" spans="1:13" ht="14.4" customHeight="1" thickBot="1" x14ac:dyDescent="0.35">
      <c r="A106" s="8" t="s">
        <v>134</v>
      </c>
      <c r="B106" s="128"/>
      <c r="C106" s="138" t="str">
        <f>IF($B$84&gt;0.4,"FAIL",IF($B$104&gt;=$B$84,"OK","FAIL"))</f>
        <v>OK</v>
      </c>
      <c r="D106" s="26"/>
      <c r="G106" s="130" t="str">
        <f>IF($B$84&gt;0.4,"Error: The Loop Current is upper that Maximum Current allowed",IF($B$104&lt;$B$84,"Error: The Loop Current is upper that Maximum Current allowed",""))</f>
        <v/>
      </c>
    </row>
    <row r="107" spans="1:13" ht="14.4" customHeight="1" thickBot="1" x14ac:dyDescent="0.35">
      <c r="A107" s="8" t="s">
        <v>135</v>
      </c>
      <c r="B107" s="128"/>
      <c r="C107" s="137" t="str">
        <f>IF($M$76&lt;=250,"OK","FAIL")</f>
        <v>OK</v>
      </c>
      <c r="D107" s="26"/>
      <c r="G107" s="130" t="str">
        <f>IF($M$76&gt;250,"Error: The Loop cannot contain more than 250 addresses","")</f>
        <v/>
      </c>
    </row>
    <row r="108" spans="1:13" ht="14.4" customHeight="1" x14ac:dyDescent="0.3">
      <c r="A108" s="13"/>
      <c r="B108" s="13"/>
      <c r="F108" s="26"/>
    </row>
    <row r="110" spans="1:13" ht="27" customHeight="1" x14ac:dyDescent="0.25">
      <c r="A110" s="225" t="s">
        <v>13</v>
      </c>
      <c r="B110" s="225"/>
      <c r="C110" s="225"/>
      <c r="D110" s="225"/>
      <c r="E110" s="225"/>
      <c r="F110" s="225"/>
      <c r="G110" s="225"/>
      <c r="H110" s="225"/>
      <c r="I110" s="225"/>
      <c r="J110" s="225"/>
      <c r="K110" s="225"/>
      <c r="L110" s="225"/>
      <c r="M110" s="225"/>
    </row>
  </sheetData>
  <sheetProtection algorithmName="SHA-512" hashValue="oRN1xw4+xp8vAS5wc/AAi+aSjk4c6764GKRSHuQklfDvmAvA7fZQ3U32chky9u8/3SaSRFE0aLkeGXDAytMe7w==" saltValue="Ufh5Ez4Wk4YmXA9Krp6WDQ==" spinCount="100000" sheet="1" sort="0" autoFilter="0" pivotTables="0"/>
  <mergeCells count="5">
    <mergeCell ref="K7:L7"/>
    <mergeCell ref="H8:J9"/>
    <mergeCell ref="K8:L8"/>
    <mergeCell ref="K9:L9"/>
    <mergeCell ref="A110:M110"/>
  </mergeCells>
  <conditionalFormatting sqref="B89:J90">
    <cfRule type="containsErrors" dxfId="50" priority="5">
      <formula>ISERROR(B89)</formula>
    </cfRule>
  </conditionalFormatting>
  <conditionalFormatting sqref="B91:J91">
    <cfRule type="containsErrors" dxfId="49" priority="3">
      <formula>ISERROR(B91)</formula>
    </cfRule>
  </conditionalFormatting>
  <conditionalFormatting sqref="B95:J96">
    <cfRule type="containsErrors" dxfId="48" priority="4">
      <formula>ISERROR(B95)</formula>
    </cfRule>
  </conditionalFormatting>
  <conditionalFormatting sqref="B97:J97">
    <cfRule type="containsErrors" dxfId="47" priority="1">
      <formula>ISERROR(B97)</formula>
    </cfRule>
  </conditionalFormatting>
  <conditionalFormatting sqref="C106:C107">
    <cfRule type="cellIs" dxfId="46" priority="6" stopIfTrue="1" operator="equal">
      <formula>"FAIL"</formula>
    </cfRule>
  </conditionalFormatting>
  <conditionalFormatting sqref="K15:K75">
    <cfRule type="cellIs" dxfId="45" priority="8" operator="equal">
      <formula>0</formula>
    </cfRule>
  </conditionalFormatting>
  <conditionalFormatting sqref="M8:M9">
    <cfRule type="cellIs" dxfId="44" priority="24" stopIfTrue="1" operator="equal">
      <formula>"FAIL"</formula>
    </cfRule>
  </conditionalFormatting>
  <conditionalFormatting sqref="O34:O35 O56 O58 O60 O62 O64:O65">
    <cfRule type="expression" dxfId="43" priority="11" stopIfTrue="1">
      <formula>$B$38&gt;2</formula>
    </cfRule>
    <cfRule type="expression" dxfId="42" priority="12" stopIfTrue="1">
      <formula>$B$38&lt;3</formula>
    </cfRule>
  </conditionalFormatting>
  <conditionalFormatting sqref="O35:O36">
    <cfRule type="expression" dxfId="41" priority="17" stopIfTrue="1">
      <formula>$B$37&gt;4</formula>
    </cfRule>
    <cfRule type="expression" dxfId="40" priority="18" stopIfTrue="1">
      <formula>$B$37&lt;5</formula>
    </cfRule>
  </conditionalFormatting>
  <conditionalFormatting sqref="O37:O43">
    <cfRule type="expression" dxfId="39" priority="13" stopIfTrue="1">
      <formula>$B$38&gt;2</formula>
    </cfRule>
    <cfRule type="expression" dxfId="38" priority="14" stopIfTrue="1">
      <formula>$B$38&lt;3</formula>
    </cfRule>
  </conditionalFormatting>
  <conditionalFormatting sqref="O54">
    <cfRule type="expression" dxfId="37" priority="9" stopIfTrue="1">
      <formula>$B$38&gt;2</formula>
    </cfRule>
    <cfRule type="expression" dxfId="36" priority="10" stopIfTrue="1">
      <formula>$B$38&lt;3</formula>
    </cfRule>
  </conditionalFormatting>
  <conditionalFormatting sqref="O68">
    <cfRule type="expression" dxfId="35" priority="15" stopIfTrue="1">
      <formula>$B$37&gt;4</formula>
    </cfRule>
    <cfRule type="expression" dxfId="34" priority="16" stopIfTrue="1">
      <formula>$B$37&lt;5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EFACD9D-782A-4024-B713-29E4B75CA1A6}">
          <x14:formula1>
            <xm:f>Datos!$F$16:$F$21</xm:f>
          </x14:formula1>
          <xm:sqref>B8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97FFE-3402-41F6-B177-450185E0D32F}">
  <sheetPr codeName="Hoja9">
    <pageSetUpPr fitToPage="1"/>
  </sheetPr>
  <dimension ref="A1:O110"/>
  <sheetViews>
    <sheetView zoomScale="120" zoomScaleNormal="120" workbookViewId="0">
      <pane ySplit="14" topLeftCell="A15" activePane="bottomLeft" state="frozen"/>
      <selection activeCell="C15" sqref="C15"/>
      <selection pane="bottomLeft" activeCell="C15" sqref="C15"/>
    </sheetView>
  </sheetViews>
  <sheetFormatPr baseColWidth="10" defaultRowHeight="12.5" x14ac:dyDescent="0.25"/>
  <cols>
    <col min="1" max="1" width="31.1796875" customWidth="1"/>
    <col min="2" max="2" width="18.90625" customWidth="1"/>
    <col min="3" max="3" width="10.6328125" customWidth="1"/>
    <col min="4" max="4" width="11.08984375" hidden="1" customWidth="1"/>
    <col min="5" max="5" width="12.81640625" bestFit="1" customWidth="1"/>
    <col min="6" max="7" width="10.6328125" hidden="1" customWidth="1"/>
    <col min="8" max="8" width="10.54296875" bestFit="1" customWidth="1"/>
    <col min="9" max="9" width="10.6328125" customWidth="1"/>
    <col min="10" max="10" width="5.54296875" bestFit="1" customWidth="1"/>
    <col min="11" max="11" width="7" customWidth="1"/>
    <col min="12" max="12" width="6.453125" customWidth="1"/>
    <col min="13" max="13" width="6.54296875" customWidth="1"/>
    <col min="15" max="17" width="11.54296875" customWidth="1"/>
  </cols>
  <sheetData>
    <row r="1" spans="1:15" x14ac:dyDescent="0.25">
      <c r="I1" s="1"/>
      <c r="J1" s="2"/>
      <c r="K1" s="2"/>
      <c r="L1" s="2"/>
    </row>
    <row r="2" spans="1:15" x14ac:dyDescent="0.25">
      <c r="I2" s="1"/>
      <c r="J2" s="2"/>
      <c r="K2" s="2"/>
      <c r="L2" s="2"/>
    </row>
    <row r="3" spans="1:15" ht="14.5" x14ac:dyDescent="0.35">
      <c r="A3" s="3"/>
      <c r="B3" s="3"/>
      <c r="I3" s="1"/>
      <c r="J3" s="2"/>
      <c r="K3" s="2"/>
      <c r="L3" s="2"/>
    </row>
    <row r="4" spans="1:15" ht="14.5" x14ac:dyDescent="0.35">
      <c r="A4" s="3"/>
      <c r="B4" s="3"/>
      <c r="I4" s="1"/>
      <c r="J4" s="2"/>
      <c r="K4" s="2"/>
      <c r="L4" s="2"/>
    </row>
    <row r="5" spans="1:15" s="7" customFormat="1" ht="13.5" thickBot="1" x14ac:dyDescent="0.35">
      <c r="A5" s="4" t="str">
        <f>'System Calculation'!A7</f>
        <v>SYSTEM CALCULATOR DETNOV CAD-150 EXCEL TOOL</v>
      </c>
      <c r="B5" s="4"/>
      <c r="C5" s="4"/>
      <c r="D5" s="4"/>
      <c r="E5" s="4"/>
      <c r="F5" s="4"/>
      <c r="G5" s="4"/>
      <c r="H5" s="4"/>
      <c r="I5" s="6"/>
      <c r="J5" s="5"/>
      <c r="K5" s="5"/>
      <c r="L5" s="5"/>
      <c r="M5" s="12" t="str">
        <f>'System Calculation'!J7</f>
        <v>SC 116 en 2019 i</v>
      </c>
    </row>
    <row r="6" spans="1:15" s="7" customFormat="1" ht="13.5" thickBot="1" x14ac:dyDescent="0.35">
      <c r="I6" s="29"/>
      <c r="J6" s="30"/>
      <c r="K6" s="30"/>
      <c r="L6" s="30"/>
      <c r="M6" s="31"/>
    </row>
    <row r="7" spans="1:15" s="7" customFormat="1" ht="13.5" thickBot="1" x14ac:dyDescent="0.35">
      <c r="A7" s="15" t="s">
        <v>62</v>
      </c>
      <c r="B7" s="99"/>
      <c r="C7" s="100"/>
      <c r="I7" s="29"/>
      <c r="K7" s="226" t="s">
        <v>133</v>
      </c>
      <c r="L7" s="230"/>
      <c r="M7" s="118"/>
      <c r="N7" s="31"/>
    </row>
    <row r="8" spans="1:15" s="7" customFormat="1" ht="13.5" thickBot="1" x14ac:dyDescent="0.35">
      <c r="A8" s="96" t="s">
        <v>128</v>
      </c>
      <c r="B8" s="203">
        <v>1.5</v>
      </c>
      <c r="C8" s="222">
        <f>VLOOKUP($B$8,Datos!$F$16:$G$21,2,FALSE)</f>
        <v>16</v>
      </c>
      <c r="D8" s="207"/>
      <c r="E8" s="207"/>
      <c r="F8" s="204"/>
      <c r="G8" s="13"/>
      <c r="H8" s="231" t="str">
        <f>IF(B9&gt;3500,"Error: The Maximum Lenght in the Line is 3500 m","")</f>
        <v/>
      </c>
      <c r="I8" s="231"/>
      <c r="J8" s="232"/>
      <c r="K8" s="226" t="s">
        <v>134</v>
      </c>
      <c r="L8" s="227"/>
      <c r="M8" s="138" t="str">
        <f>IF($B$84&gt;0.4,"FAIL",IF($B$104&gt;=$B$84,"OK","FAIL"))</f>
        <v>OK</v>
      </c>
      <c r="O8" s="130" t="str">
        <f>IF($B$84&gt;0.4,"Error: The Loop Current is upper that Maximum Current allowed",IF($B$104&lt;$B$84,"Error: The Loop Current is upper that Maximum Current allowed",""))</f>
        <v/>
      </c>
    </row>
    <row r="9" spans="1:15" s="7" customFormat="1" ht="13.5" thickBot="1" x14ac:dyDescent="0.35">
      <c r="A9" s="22" t="s">
        <v>129</v>
      </c>
      <c r="B9" s="101">
        <v>1000</v>
      </c>
      <c r="C9" s="28" t="s">
        <v>131</v>
      </c>
      <c r="D9" s="13"/>
      <c r="E9" s="13"/>
      <c r="F9" s="13"/>
      <c r="G9" s="13"/>
      <c r="H9" s="231"/>
      <c r="I9" s="231"/>
      <c r="J9" s="232"/>
      <c r="K9" s="228" t="s">
        <v>135</v>
      </c>
      <c r="L9" s="229"/>
      <c r="M9" s="137" t="str">
        <f>IF($M$76&lt;=250,"OK","FAIL")</f>
        <v>OK</v>
      </c>
      <c r="O9" s="130" t="str">
        <f>IF($M$76&gt;250,"Error: The Loop cannot contain more than 250 addresses","")</f>
        <v/>
      </c>
    </row>
    <row r="10" spans="1:15" s="7" customFormat="1" ht="13" x14ac:dyDescent="0.3">
      <c r="A10" s="129" t="s">
        <v>149</v>
      </c>
      <c r="B10" s="129"/>
      <c r="I10" s="29"/>
      <c r="J10" s="30"/>
      <c r="K10" s="30"/>
      <c r="L10" s="30"/>
      <c r="M10" s="31"/>
    </row>
    <row r="11" spans="1:15" s="7" customFormat="1" ht="13" x14ac:dyDescent="0.3">
      <c r="A11" s="129"/>
      <c r="B11" s="129"/>
      <c r="I11" s="29"/>
      <c r="J11" s="30"/>
      <c r="K11" s="30"/>
      <c r="L11" s="30"/>
      <c r="M11" s="31"/>
    </row>
    <row r="12" spans="1:15" ht="13.5" thickBot="1" x14ac:dyDescent="0.35">
      <c r="C12" s="11" t="s">
        <v>10</v>
      </c>
      <c r="D12" s="11" t="s">
        <v>10</v>
      </c>
    </row>
    <row r="13" spans="1:15" ht="13.5" thickBot="1" x14ac:dyDescent="0.35">
      <c r="A13" s="8" t="s">
        <v>177</v>
      </c>
      <c r="B13" s="9"/>
      <c r="C13" s="9"/>
      <c r="D13" s="9"/>
      <c r="E13" s="9"/>
      <c r="F13" s="9"/>
      <c r="G13" s="9"/>
      <c r="H13" s="9"/>
      <c r="I13" s="127"/>
      <c r="J13" s="127"/>
      <c r="K13" s="127"/>
      <c r="L13" s="127"/>
      <c r="M13" s="128"/>
    </row>
    <row r="14" spans="1:15" s="7" customFormat="1" ht="13.5" thickBot="1" x14ac:dyDescent="0.35">
      <c r="A14" s="215" t="s">
        <v>0</v>
      </c>
      <c r="B14" s="216" t="s">
        <v>223</v>
      </c>
      <c r="C14" s="217" t="s">
        <v>1</v>
      </c>
      <c r="D14" s="217" t="s">
        <v>38</v>
      </c>
      <c r="E14" s="217" t="s">
        <v>38</v>
      </c>
      <c r="F14" s="217" t="s">
        <v>109</v>
      </c>
      <c r="G14" s="217" t="s">
        <v>39</v>
      </c>
      <c r="H14" s="217" t="s">
        <v>39</v>
      </c>
      <c r="I14" s="99" t="s">
        <v>132</v>
      </c>
      <c r="J14" s="99" t="s">
        <v>145</v>
      </c>
      <c r="K14" s="99" t="s">
        <v>146</v>
      </c>
      <c r="L14" s="99" t="s">
        <v>147</v>
      </c>
      <c r="M14" s="100" t="s">
        <v>148</v>
      </c>
    </row>
    <row r="15" spans="1:15" ht="25" x14ac:dyDescent="0.25">
      <c r="A15" s="115" t="str">
        <f>'SC_Loop 1'!A15</f>
        <v>DOD-220A</v>
      </c>
      <c r="B15" s="208" t="str">
        <f>'SC_Loop 1'!B15</f>
        <v>Addressable smoke detector</v>
      </c>
      <c r="C15" s="97"/>
      <c r="D15" s="214">
        <f>'SC_Loop 1'!D15</f>
        <v>1.272E-4</v>
      </c>
      <c r="E15" s="116">
        <f>C15*D15</f>
        <v>0</v>
      </c>
      <c r="F15" s="200">
        <f>IF(C15&gt;10,10,C15)</f>
        <v>0</v>
      </c>
      <c r="G15" s="214">
        <f>'SC_Loop 1'!G15</f>
        <v>3.6099999999999999E-3</v>
      </c>
      <c r="H15" s="116">
        <f>F15*G15</f>
        <v>0</v>
      </c>
      <c r="I15" s="41"/>
      <c r="J15" s="41" t="str">
        <f t="shared" ref="J15:J27" si="0">IF(C15&lt;&gt;0,C15," ")</f>
        <v xml:space="preserve"> </v>
      </c>
      <c r="K15" s="41"/>
      <c r="L15" s="41"/>
      <c r="M15" s="117" t="str">
        <f>IF(J15&lt;&gt;0,J15," ")</f>
        <v xml:space="preserve"> </v>
      </c>
    </row>
    <row r="16" spans="1:15" ht="25" x14ac:dyDescent="0.25">
      <c r="A16" s="115" t="str">
        <f>'SC_Loop 1'!A16</f>
        <v>DOD-220A-I</v>
      </c>
      <c r="B16" s="208" t="str">
        <f>'SC_Loop 1'!B16</f>
        <v>Addressable smoke detector with isolator</v>
      </c>
      <c r="C16" s="97"/>
      <c r="D16" s="20">
        <f>'SC_Loop 1'!D16</f>
        <v>1.9580000000000002E-4</v>
      </c>
      <c r="E16" s="57">
        <f>C16*D16</f>
        <v>0</v>
      </c>
      <c r="F16" s="200">
        <f t="shared" ref="F16:F22" si="1">IF(C16&gt;10,10,C16)</f>
        <v>0</v>
      </c>
      <c r="G16" s="20">
        <f>'SC_Loop 1'!G16</f>
        <v>3.7400000000000003E-3</v>
      </c>
      <c r="H16" s="57">
        <f>F16*G16</f>
        <v>0</v>
      </c>
      <c r="I16" s="49"/>
      <c r="J16" s="49" t="str">
        <f t="shared" si="0"/>
        <v xml:space="preserve"> </v>
      </c>
      <c r="K16" s="49"/>
      <c r="L16" s="49"/>
      <c r="M16" s="106" t="str">
        <f>IF(J16&lt;&gt;0,J16," ")</f>
        <v xml:space="preserve"> </v>
      </c>
    </row>
    <row r="17" spans="1:13" ht="25" x14ac:dyDescent="0.25">
      <c r="A17" s="115" t="str">
        <f>'SC_Loop 1'!A17</f>
        <v>DOTD-230A</v>
      </c>
      <c r="B17" s="208" t="str">
        <f>'SC_Loop 1'!B17</f>
        <v>Addressable smoke and heat detector</v>
      </c>
      <c r="C17" s="97"/>
      <c r="D17" s="20">
        <f>'SC_Loop 1'!D17</f>
        <v>1.416E-4</v>
      </c>
      <c r="E17" s="57">
        <f t="shared" ref="E17:E75" si="2">C17*D17</f>
        <v>0</v>
      </c>
      <c r="F17" s="200">
        <f t="shared" si="1"/>
        <v>0</v>
      </c>
      <c r="G17" s="20">
        <f>'SC_Loop 1'!G17</f>
        <v>3.6000000000000003E-3</v>
      </c>
      <c r="H17" s="57">
        <f t="shared" ref="H17:H75" si="3">F17*G17</f>
        <v>0</v>
      </c>
      <c r="I17" s="49"/>
      <c r="J17" s="49" t="str">
        <f t="shared" si="0"/>
        <v xml:space="preserve"> </v>
      </c>
      <c r="K17" s="49"/>
      <c r="L17" s="49"/>
      <c r="M17" s="106" t="str">
        <f t="shared" ref="M17:M70" si="4">IF(J17&lt;&gt;0,J17," ")</f>
        <v xml:space="preserve"> </v>
      </c>
    </row>
    <row r="18" spans="1:13" ht="37.5" x14ac:dyDescent="0.25">
      <c r="A18" s="115" t="str">
        <f>'SC_Loop 1'!A18</f>
        <v>DOTD-230A-I</v>
      </c>
      <c r="B18" s="208" t="str">
        <f>'SC_Loop 1'!B18</f>
        <v>Addressable smoke and heat detector with isolator</v>
      </c>
      <c r="C18" s="97"/>
      <c r="D18" s="20">
        <f>'SC_Loop 1'!D18</f>
        <v>2.1239999999999999E-4</v>
      </c>
      <c r="E18" s="57">
        <f t="shared" si="2"/>
        <v>0</v>
      </c>
      <c r="F18" s="200">
        <f t="shared" si="1"/>
        <v>0</v>
      </c>
      <c r="G18" s="20">
        <f>'SC_Loop 1'!G18</f>
        <v>3.7400000000000003E-3</v>
      </c>
      <c r="H18" s="57">
        <f t="shared" si="3"/>
        <v>0</v>
      </c>
      <c r="I18" s="49"/>
      <c r="J18" s="49" t="str">
        <f t="shared" si="0"/>
        <v xml:space="preserve"> </v>
      </c>
      <c r="K18" s="49"/>
      <c r="L18" s="49"/>
      <c r="M18" s="106" t="str">
        <f t="shared" si="4"/>
        <v xml:space="preserve"> </v>
      </c>
    </row>
    <row r="19" spans="1:13" ht="25" x14ac:dyDescent="0.25">
      <c r="A19" s="115" t="str">
        <f>'SC_Loop 1'!A19</f>
        <v>DTD-210A</v>
      </c>
      <c r="B19" s="208" t="str">
        <f>'SC_Loop 1'!B19</f>
        <v>Addressable heat detector</v>
      </c>
      <c r="C19" s="97"/>
      <c r="D19" s="20">
        <f>'SC_Loop 1'!D19</f>
        <v>1.2219999999999999E-4</v>
      </c>
      <c r="E19" s="57">
        <f t="shared" si="2"/>
        <v>0</v>
      </c>
      <c r="F19" s="200">
        <f t="shared" si="1"/>
        <v>0</v>
      </c>
      <c r="G19" s="20">
        <f>'SC_Loop 1'!G19</f>
        <v>3.64E-3</v>
      </c>
      <c r="H19" s="57">
        <f t="shared" si="3"/>
        <v>0</v>
      </c>
      <c r="I19" s="49"/>
      <c r="J19" s="49" t="str">
        <f t="shared" si="0"/>
        <v xml:space="preserve"> </v>
      </c>
      <c r="K19" s="49"/>
      <c r="L19" s="49"/>
      <c r="M19" s="106" t="str">
        <f t="shared" si="4"/>
        <v xml:space="preserve"> </v>
      </c>
    </row>
    <row r="20" spans="1:13" ht="25" x14ac:dyDescent="0.25">
      <c r="A20" s="115" t="str">
        <f>'SC_Loop 1'!A20</f>
        <v>DTD-210A-I</v>
      </c>
      <c r="B20" s="208" t="str">
        <f>'SC_Loop 1'!B20</f>
        <v>Addressable heat detector with isolator</v>
      </c>
      <c r="C20" s="97"/>
      <c r="D20" s="20">
        <f>'SC_Loop 1'!D20</f>
        <v>1.9239999999999999E-4</v>
      </c>
      <c r="E20" s="57">
        <f t="shared" si="2"/>
        <v>0</v>
      </c>
      <c r="F20" s="200">
        <f t="shared" si="1"/>
        <v>0</v>
      </c>
      <c r="G20" s="20">
        <f>'SC_Loop 1'!G20</f>
        <v>3.7599999999999999E-3</v>
      </c>
      <c r="H20" s="57">
        <f t="shared" si="3"/>
        <v>0</v>
      </c>
      <c r="I20" s="49"/>
      <c r="J20" s="49" t="str">
        <f t="shared" si="0"/>
        <v xml:space="preserve"> </v>
      </c>
      <c r="K20" s="49"/>
      <c r="L20" s="49"/>
      <c r="M20" s="106" t="str">
        <f t="shared" si="4"/>
        <v xml:space="preserve"> </v>
      </c>
    </row>
    <row r="21" spans="1:13" ht="25" x14ac:dyDescent="0.25">
      <c r="A21" s="115" t="str">
        <f>'SC_Loop 1'!A21</f>
        <v>DTD-215A</v>
      </c>
      <c r="B21" s="208" t="str">
        <f>'SC_Loop 1'!B21</f>
        <v>Addressable high temperature detector</v>
      </c>
      <c r="C21" s="97"/>
      <c r="D21" s="20">
        <f>'SC_Loop 1'!D21</f>
        <v>1.3369999999999997E-4</v>
      </c>
      <c r="E21" s="57">
        <f t="shared" si="2"/>
        <v>0</v>
      </c>
      <c r="F21" s="200">
        <f t="shared" si="1"/>
        <v>0</v>
      </c>
      <c r="G21" s="20">
        <f>'SC_Loop 1'!G21</f>
        <v>3.7799999999999999E-3</v>
      </c>
      <c r="H21" s="57">
        <f t="shared" si="3"/>
        <v>0</v>
      </c>
      <c r="I21" s="49"/>
      <c r="J21" s="49" t="str">
        <f t="shared" si="0"/>
        <v xml:space="preserve"> </v>
      </c>
      <c r="K21" s="49"/>
      <c r="L21" s="49"/>
      <c r="M21" s="106" t="str">
        <f t="shared" si="4"/>
        <v xml:space="preserve"> </v>
      </c>
    </row>
    <row r="22" spans="1:13" ht="37.5" x14ac:dyDescent="0.25">
      <c r="A22" s="115" t="str">
        <f>'SC_Loop 1'!A22</f>
        <v>DTD-215A-I</v>
      </c>
      <c r="B22" s="208" t="str">
        <f>'SC_Loop 1'!B22</f>
        <v>Addressable high temperature detector with isolator</v>
      </c>
      <c r="C22" s="97"/>
      <c r="D22" s="20">
        <f>'SC_Loop 1'!D22</f>
        <v>2.0349999999999999E-4</v>
      </c>
      <c r="E22" s="57">
        <f t="shared" si="2"/>
        <v>0</v>
      </c>
      <c r="F22" s="200">
        <f t="shared" si="1"/>
        <v>0</v>
      </c>
      <c r="G22" s="20">
        <f>'SC_Loop 1'!G22</f>
        <v>3.7699999999999999E-3</v>
      </c>
      <c r="H22" s="57">
        <f t="shared" si="3"/>
        <v>0</v>
      </c>
      <c r="I22" s="49"/>
      <c r="J22" s="49" t="str">
        <f t="shared" si="0"/>
        <v xml:space="preserve"> </v>
      </c>
      <c r="K22" s="49"/>
      <c r="L22" s="49"/>
      <c r="M22" s="106" t="str">
        <f t="shared" si="4"/>
        <v xml:space="preserve"> </v>
      </c>
    </row>
    <row r="23" spans="1:13" ht="25" x14ac:dyDescent="0.25">
      <c r="A23" s="115" t="str">
        <f>'SC_Loop 1'!A23</f>
        <v>DGD-600</v>
      </c>
      <c r="B23" s="208" t="str">
        <f>'SC_Loop 1'!B23</f>
        <v>Stand-alone natural gas detector (24V)</v>
      </c>
      <c r="C23" s="97"/>
      <c r="D23" s="20">
        <f>'SC_Loop 1'!D23</f>
        <v>2.1800000000000001E-3</v>
      </c>
      <c r="E23" s="57">
        <f t="shared" si="2"/>
        <v>0</v>
      </c>
      <c r="F23" s="200">
        <f>IF(C23&gt;10,10,C23)</f>
        <v>0</v>
      </c>
      <c r="G23" s="20">
        <f>'SC_Loop 1'!G23</f>
        <v>2.2200000000000002E-3</v>
      </c>
      <c r="H23" s="57">
        <f t="shared" si="3"/>
        <v>0</v>
      </c>
      <c r="I23" s="49"/>
      <c r="J23" s="49" t="str">
        <f t="shared" si="0"/>
        <v xml:space="preserve"> </v>
      </c>
      <c r="K23" s="49"/>
      <c r="L23" s="49"/>
      <c r="M23" s="106" t="str">
        <f t="shared" si="4"/>
        <v xml:space="preserve"> </v>
      </c>
    </row>
    <row r="24" spans="1:13" ht="25" x14ac:dyDescent="0.25">
      <c r="A24" s="115" t="str">
        <f>'SC_Loop 1'!A24</f>
        <v>DGD-600-AC</v>
      </c>
      <c r="B24" s="208" t="str">
        <f>'SC_Loop 1'!B24</f>
        <v>Stand-alone natural gas detector (230V)</v>
      </c>
      <c r="C24" s="97"/>
      <c r="D24" s="20">
        <f>'SC_Loop 1'!D24</f>
        <v>2.5999999999999999E-3</v>
      </c>
      <c r="E24" s="57">
        <f t="shared" si="2"/>
        <v>0</v>
      </c>
      <c r="F24" s="200">
        <f t="shared" ref="F24:F26" si="5">IF(C24&gt;10,10,C24)</f>
        <v>0</v>
      </c>
      <c r="G24" s="20">
        <f>'SC_Loop 1'!G24</f>
        <v>3.16E-3</v>
      </c>
      <c r="H24" s="57">
        <f t="shared" si="3"/>
        <v>0</v>
      </c>
      <c r="I24" s="49"/>
      <c r="J24" s="49" t="str">
        <f t="shared" si="0"/>
        <v xml:space="preserve"> </v>
      </c>
      <c r="K24" s="49"/>
      <c r="L24" s="49"/>
      <c r="M24" s="106" t="str">
        <f t="shared" si="4"/>
        <v xml:space="preserve"> </v>
      </c>
    </row>
    <row r="25" spans="1:13" ht="25" x14ac:dyDescent="0.25">
      <c r="A25" s="115" t="str">
        <f>'SC_Loop 1'!A25</f>
        <v>DGD-620</v>
      </c>
      <c r="B25" s="208" t="str">
        <f>'SC_Loop 1'!B25</f>
        <v>Stand-alone LPG detector (24V)</v>
      </c>
      <c r="C25" s="97"/>
      <c r="D25" s="20">
        <f>'SC_Loop 1'!D25</f>
        <v>2.1800000000000001E-3</v>
      </c>
      <c r="E25" s="57">
        <f t="shared" si="2"/>
        <v>0</v>
      </c>
      <c r="F25" s="200">
        <f t="shared" si="5"/>
        <v>0</v>
      </c>
      <c r="G25" s="20">
        <f>'SC_Loop 1'!G25</f>
        <v>2.2200000000000002E-3</v>
      </c>
      <c r="H25" s="57">
        <f t="shared" si="3"/>
        <v>0</v>
      </c>
      <c r="I25" s="49"/>
      <c r="J25" s="49" t="str">
        <f t="shared" si="0"/>
        <v xml:space="preserve"> </v>
      </c>
      <c r="K25" s="49"/>
      <c r="L25" s="49"/>
      <c r="M25" s="106" t="str">
        <f t="shared" si="4"/>
        <v xml:space="preserve"> </v>
      </c>
    </row>
    <row r="26" spans="1:13" ht="25" x14ac:dyDescent="0.25">
      <c r="A26" s="115" t="str">
        <f>'SC_Loop 1'!A26</f>
        <v>DGD-620-AC</v>
      </c>
      <c r="B26" s="208" t="str">
        <f>'SC_Loop 1'!B26</f>
        <v>Stand-alone LPG detector (230V)</v>
      </c>
      <c r="C26" s="97"/>
      <c r="D26" s="20">
        <f>'SC_Loop 1'!D26</f>
        <v>2.5999999999999999E-3</v>
      </c>
      <c r="E26" s="57">
        <f t="shared" si="2"/>
        <v>0</v>
      </c>
      <c r="F26" s="200">
        <f t="shared" si="5"/>
        <v>0</v>
      </c>
      <c r="G26" s="20">
        <f>'SC_Loop 1'!G26</f>
        <v>3.16E-3</v>
      </c>
      <c r="H26" s="57">
        <f t="shared" si="3"/>
        <v>0</v>
      </c>
      <c r="I26" s="49"/>
      <c r="J26" s="49" t="str">
        <f t="shared" si="0"/>
        <v xml:space="preserve"> </v>
      </c>
      <c r="K26" s="49"/>
      <c r="L26" s="49"/>
      <c r="M26" s="106" t="str">
        <f t="shared" si="4"/>
        <v xml:space="preserve"> </v>
      </c>
    </row>
    <row r="27" spans="1:13" ht="25" x14ac:dyDescent="0.25">
      <c r="A27" s="115" t="str">
        <f>'SC_Loop 1'!A27</f>
        <v>DBD-70A</v>
      </c>
      <c r="B27" s="208" t="str">
        <f>'SC_Loop 1'!B27</f>
        <v>Addressable lineal smoke detector</v>
      </c>
      <c r="C27" s="97"/>
      <c r="D27" s="20">
        <f>'SC_Loop 1'!D27</f>
        <v>3.7999999999999999E-2</v>
      </c>
      <c r="E27" s="57">
        <f t="shared" si="2"/>
        <v>0</v>
      </c>
      <c r="F27" s="200">
        <f>C27</f>
        <v>0</v>
      </c>
      <c r="G27" s="20">
        <f>'SC_Loop 1'!G27</f>
        <v>3.7999999999999999E-2</v>
      </c>
      <c r="H27" s="57">
        <f t="shared" si="3"/>
        <v>0</v>
      </c>
      <c r="I27" s="49"/>
      <c r="J27" s="49" t="str">
        <f t="shared" si="0"/>
        <v xml:space="preserve"> </v>
      </c>
      <c r="K27" s="49"/>
      <c r="L27" s="49"/>
      <c r="M27" s="106" t="str">
        <f t="shared" si="4"/>
        <v xml:space="preserve"> </v>
      </c>
    </row>
    <row r="28" spans="1:13" ht="25" x14ac:dyDescent="0.25">
      <c r="A28" s="115" t="str">
        <f>'SC_Loop 1'!A28</f>
        <v>MAD-401 &amp; MAD-401-I</v>
      </c>
      <c r="B28" s="208" t="str">
        <f>'SC_Loop 1'!B28</f>
        <v>1 output addressable module</v>
      </c>
      <c r="C28" s="97"/>
      <c r="D28" s="20">
        <f>'SC_Loop 1'!D28</f>
        <v>2.1680000000000001E-4</v>
      </c>
      <c r="E28" s="57">
        <f t="shared" si="2"/>
        <v>0</v>
      </c>
      <c r="F28" s="199">
        <f>C28*'System Calculation'!$I$14</f>
        <v>0</v>
      </c>
      <c r="G28" s="20">
        <f>'SC_Loop 1'!G28</f>
        <v>3.0600000000000002E-3</v>
      </c>
      <c r="H28" s="57">
        <f t="shared" si="3"/>
        <v>0</v>
      </c>
      <c r="I28" s="49"/>
      <c r="J28" s="49"/>
      <c r="K28" s="49" t="str">
        <f>IF(C28&lt;&gt;0,C28," ")</f>
        <v xml:space="preserve"> </v>
      </c>
      <c r="L28" s="49"/>
      <c r="M28" s="106" t="str">
        <f>IF(K28&lt;&gt;0,K28," ")</f>
        <v xml:space="preserve"> </v>
      </c>
    </row>
    <row r="29" spans="1:13" ht="25" x14ac:dyDescent="0.25">
      <c r="A29" s="115" t="str">
        <f>'SC_Loop 1'!A29</f>
        <v>MAD-402 &amp; MAD-402-I</v>
      </c>
      <c r="B29" s="208" t="str">
        <f>'SC_Loop 1'!B29</f>
        <v>2 outputs addressable module</v>
      </c>
      <c r="C29" s="97"/>
      <c r="D29" s="20">
        <f>'SC_Loop 1'!D29</f>
        <v>2.174E-4</v>
      </c>
      <c r="E29" s="57">
        <f t="shared" si="2"/>
        <v>0</v>
      </c>
      <c r="F29" s="199">
        <f>C29*'System Calculation'!$I$14</f>
        <v>0</v>
      </c>
      <c r="G29" s="20">
        <f>'SC_Loop 1'!G29</f>
        <v>5.9500000000000004E-3</v>
      </c>
      <c r="H29" s="57">
        <f t="shared" si="3"/>
        <v>0</v>
      </c>
      <c r="I29" s="49"/>
      <c r="J29" s="49"/>
      <c r="K29" s="49">
        <f>IF(C29&lt;&gt;0,C29,0)</f>
        <v>0</v>
      </c>
      <c r="L29" s="49"/>
      <c r="M29" s="106" t="str">
        <f>IF(K29&lt;&gt;0,K29*2," ")</f>
        <v xml:space="preserve"> </v>
      </c>
    </row>
    <row r="30" spans="1:13" ht="25" x14ac:dyDescent="0.25">
      <c r="A30" s="115" t="str">
        <f>'SC_Loop 1'!A30</f>
        <v>MAD-405-I</v>
      </c>
      <c r="B30" s="208" t="str">
        <f>'SC_Loop 1'!B30</f>
        <v>5 outputs addressable module</v>
      </c>
      <c r="C30" s="97"/>
      <c r="D30" s="20">
        <f>'SC_Loop 1'!D30</f>
        <v>2.786E-4</v>
      </c>
      <c r="E30" s="57">
        <f t="shared" si="2"/>
        <v>0</v>
      </c>
      <c r="F30" s="199">
        <f>C30*'System Calculation'!$I$14</f>
        <v>0</v>
      </c>
      <c r="G30" s="20">
        <f>'SC_Loop 1'!G30</f>
        <v>3.15E-3</v>
      </c>
      <c r="H30" s="57">
        <f t="shared" si="3"/>
        <v>0</v>
      </c>
      <c r="I30" s="49"/>
      <c r="J30" s="49"/>
      <c r="K30" s="49">
        <f>IF(C30&lt;&gt;0,C30,0)</f>
        <v>0</v>
      </c>
      <c r="L30" s="49"/>
      <c r="M30" s="106" t="str">
        <f>IF(K30&lt;&gt;0,K30*5," ")</f>
        <v xml:space="preserve"> </v>
      </c>
    </row>
    <row r="31" spans="1:13" ht="25" x14ac:dyDescent="0.25">
      <c r="A31" s="115" t="str">
        <f>'SC_Loop 1'!A31</f>
        <v>MAD-409-I</v>
      </c>
      <c r="B31" s="208" t="str">
        <f>'SC_Loop 1'!B31</f>
        <v>10 outputs addressable module</v>
      </c>
      <c r="C31" s="97"/>
      <c r="D31" s="20">
        <f>'SC_Loop 1'!D31</f>
        <v>3.6769999999999999E-4</v>
      </c>
      <c r="E31" s="57">
        <f t="shared" si="2"/>
        <v>0</v>
      </c>
      <c r="F31" s="199">
        <f>C31*'System Calculation'!$I$14</f>
        <v>0</v>
      </c>
      <c r="G31" s="20">
        <f>'SC_Loop 1'!G31</f>
        <v>3.3E-3</v>
      </c>
      <c r="H31" s="57">
        <f t="shared" si="3"/>
        <v>0</v>
      </c>
      <c r="I31" s="49"/>
      <c r="J31" s="49"/>
      <c r="K31" s="49"/>
      <c r="L31" s="49"/>
      <c r="M31" s="106" t="str">
        <f>IF(K31&lt;&gt;0,K31*10," ")</f>
        <v xml:space="preserve"> </v>
      </c>
    </row>
    <row r="32" spans="1:13" ht="25" x14ac:dyDescent="0.25">
      <c r="A32" s="115" t="str">
        <f>'SC_Loop 1'!A32</f>
        <v>MAD-411 &amp; MAD-411-I</v>
      </c>
      <c r="B32" s="208" t="str">
        <f>'SC_Loop 1'!B32</f>
        <v>1 input addressable module</v>
      </c>
      <c r="C32" s="97"/>
      <c r="D32" s="20">
        <f>'SC_Loop 1'!D32</f>
        <v>1.916E-4</v>
      </c>
      <c r="E32" s="57">
        <f t="shared" si="2"/>
        <v>0</v>
      </c>
      <c r="F32" s="199">
        <f>C32*'System Calculation'!$I$14</f>
        <v>0</v>
      </c>
      <c r="G32" s="20">
        <f>'SC_Loop 1'!G32</f>
        <v>3.0600000000000002E-3</v>
      </c>
      <c r="H32" s="57">
        <f t="shared" si="3"/>
        <v>0</v>
      </c>
      <c r="I32" s="49"/>
      <c r="J32" s="49"/>
      <c r="K32" s="49" t="str">
        <f>IF(C32&lt;&gt;0,C32," ")</f>
        <v xml:space="preserve"> </v>
      </c>
      <c r="L32" s="49"/>
      <c r="M32" s="106" t="str">
        <f t="shared" ref="M32" si="6">IF(K32&lt;&gt;0,K32," ")</f>
        <v xml:space="preserve"> </v>
      </c>
    </row>
    <row r="33" spans="1:15" ht="25" x14ac:dyDescent="0.25">
      <c r="A33" s="115" t="str">
        <f>'SC_Loop 1'!A33</f>
        <v>MAD-412 &amp; MAD-412-I</v>
      </c>
      <c r="B33" s="208" t="str">
        <f>'SC_Loop 1'!B33</f>
        <v>2 inputs addressable module</v>
      </c>
      <c r="C33" s="97"/>
      <c r="D33" s="20">
        <f>'SC_Loop 1'!D33</f>
        <v>1.9099999999999998E-4</v>
      </c>
      <c r="E33" s="57">
        <f t="shared" si="2"/>
        <v>0</v>
      </c>
      <c r="F33" s="199">
        <f>C33*'System Calculation'!$I$14</f>
        <v>0</v>
      </c>
      <c r="G33" s="20">
        <f>'SC_Loop 1'!G33</f>
        <v>5.8399999999999997E-3</v>
      </c>
      <c r="H33" s="57">
        <f t="shared" si="3"/>
        <v>0</v>
      </c>
      <c r="I33" s="49"/>
      <c r="J33" s="49"/>
      <c r="K33" s="49">
        <f t="shared" ref="K33:K39" si="7">IF(C33&lt;&gt;0,C33,0)</f>
        <v>0</v>
      </c>
      <c r="L33" s="49"/>
      <c r="M33" s="106" t="str">
        <f>IF(K33&lt;&gt;0,K33*2," ")</f>
        <v xml:space="preserve"> </v>
      </c>
    </row>
    <row r="34" spans="1:15" ht="25" x14ac:dyDescent="0.25">
      <c r="A34" s="115" t="str">
        <f>'SC_Loop 1'!A34</f>
        <v>MAD-415-I</v>
      </c>
      <c r="B34" s="208" t="str">
        <f>'SC_Loop 1'!B34</f>
        <v>5 inputs addressable module</v>
      </c>
      <c r="C34" s="97"/>
      <c r="D34" s="20">
        <f>'SC_Loop 1'!D34</f>
        <v>1.8880000000000001E-4</v>
      </c>
      <c r="E34" s="57">
        <f t="shared" si="2"/>
        <v>0</v>
      </c>
      <c r="F34" s="199">
        <f>C34*'System Calculation'!$I$14</f>
        <v>0</v>
      </c>
      <c r="G34" s="20">
        <f>'SC_Loop 1'!G34</f>
        <v>3.9500000000000004E-3</v>
      </c>
      <c r="H34" s="57">
        <f t="shared" si="3"/>
        <v>0</v>
      </c>
      <c r="I34" s="49"/>
      <c r="J34" s="49"/>
      <c r="K34" s="49">
        <f t="shared" si="7"/>
        <v>0</v>
      </c>
      <c r="L34" s="49"/>
      <c r="M34" s="106" t="str">
        <f>IF(KJ34&lt;&gt;0,K34*5," ")</f>
        <v xml:space="preserve"> </v>
      </c>
      <c r="O34" s="13" t="str">
        <f t="shared" ref="O34" si="8">IF(AND(C34&gt;0),"Info: External 24V needed. Control Panel could provide from 24Vaux, if 500mA maximum current isn't exceeded."," ")</f>
        <v xml:space="preserve"> </v>
      </c>
    </row>
    <row r="35" spans="1:15" ht="25" x14ac:dyDescent="0.25">
      <c r="A35" s="115" t="str">
        <f>'SC_Loop 1'!A35</f>
        <v>MAD-419-I</v>
      </c>
      <c r="B35" s="208" t="str">
        <f>'SC_Loop 1'!B35</f>
        <v>10 inputs addressable module</v>
      </c>
      <c r="C35" s="97"/>
      <c r="D35" s="20">
        <f>'SC_Loop 1'!D35</f>
        <v>1.8919999999999999E-4</v>
      </c>
      <c r="E35" s="57">
        <f t="shared" si="2"/>
        <v>0</v>
      </c>
      <c r="F35" s="199">
        <f>C35*'System Calculation'!$I$14</f>
        <v>0</v>
      </c>
      <c r="G35" s="20">
        <f>'SC_Loop 1'!G35</f>
        <v>4.8399999999999997E-3</v>
      </c>
      <c r="H35" s="57">
        <f t="shared" si="3"/>
        <v>0</v>
      </c>
      <c r="I35" s="49"/>
      <c r="J35" s="49"/>
      <c r="K35" s="49">
        <f t="shared" si="7"/>
        <v>0</v>
      </c>
      <c r="L35" s="49"/>
      <c r="M35" s="106" t="str">
        <f>IF(K35&lt;&gt;0,K35*10," ")</f>
        <v xml:space="preserve"> </v>
      </c>
      <c r="O35" s="13" t="str">
        <f>IF(AND(C33&gt;0),"Info: External 24V needed. Control Panel could provide from 24Vaux, if 500mA maximum current isn't exceeded."," ")</f>
        <v xml:space="preserve"> </v>
      </c>
    </row>
    <row r="36" spans="1:15" ht="25" x14ac:dyDescent="0.25">
      <c r="A36" s="115" t="str">
        <f>'SC_Loop 1'!A36</f>
        <v>MAD-421 &amp; MAD-421-I</v>
      </c>
      <c r="B36" s="208" t="str">
        <f>'SC_Loop 1'!B36</f>
        <v>1 output/1 input addressable module</v>
      </c>
      <c r="C36" s="97"/>
      <c r="D36" s="20">
        <f>'SC_Loop 1'!D36</f>
        <v>2.1009999999999998E-4</v>
      </c>
      <c r="E36" s="57">
        <f t="shared" si="2"/>
        <v>0</v>
      </c>
      <c r="F36" s="199">
        <f>C36*'System Calculation'!$I$14</f>
        <v>0</v>
      </c>
      <c r="G36" s="20">
        <f>'SC_Loop 1'!G36</f>
        <v>5.9199999999999999E-3</v>
      </c>
      <c r="H36" s="57">
        <f t="shared" si="3"/>
        <v>0</v>
      </c>
      <c r="I36" s="49"/>
      <c r="J36" s="49"/>
      <c r="K36" s="49">
        <f t="shared" si="7"/>
        <v>0</v>
      </c>
      <c r="L36" s="49"/>
      <c r="M36" s="106" t="str">
        <f>IF(K36&lt;&gt;0,K36*2," ")</f>
        <v xml:space="preserve"> </v>
      </c>
      <c r="O36" s="13"/>
    </row>
    <row r="37" spans="1:15" ht="25" x14ac:dyDescent="0.25">
      <c r="A37" s="115" t="str">
        <f>'SC_Loop 1'!A37</f>
        <v>MAD-422 &amp; MAD-422-I</v>
      </c>
      <c r="B37" s="208" t="str">
        <f>'SC_Loop 1'!B37</f>
        <v>2 outputs/2 inputs addressable module</v>
      </c>
      <c r="C37" s="97"/>
      <c r="D37" s="20">
        <f>'SC_Loop 1'!D37</f>
        <v>2.34E-4</v>
      </c>
      <c r="E37" s="57">
        <f t="shared" si="2"/>
        <v>0</v>
      </c>
      <c r="F37" s="199">
        <f>C37*'System Calculation'!$I$14</f>
        <v>0</v>
      </c>
      <c r="G37" s="20">
        <f>'SC_Loop 1'!G37</f>
        <v>5.9100000000000003E-3</v>
      </c>
      <c r="H37" s="57">
        <f t="shared" si="3"/>
        <v>0</v>
      </c>
      <c r="I37" s="49"/>
      <c r="J37" s="49"/>
      <c r="K37" s="49">
        <f t="shared" si="7"/>
        <v>0</v>
      </c>
      <c r="L37" s="49"/>
      <c r="M37" s="106" t="str">
        <f>IF(K37&lt;&gt;0,K37*4," ")</f>
        <v xml:space="preserve"> </v>
      </c>
      <c r="O37" s="13"/>
    </row>
    <row r="38" spans="1:15" ht="25" x14ac:dyDescent="0.25">
      <c r="A38" s="115" t="str">
        <f>'SC_Loop 1'!A38</f>
        <v>MAD-425-I</v>
      </c>
      <c r="B38" s="208" t="str">
        <f>'SC_Loop 1'!B38</f>
        <v>5 outputs/5 inputs addressable module</v>
      </c>
      <c r="C38" s="97"/>
      <c r="D38" s="20">
        <f>'SC_Loop 1'!D38</f>
        <v>2.8399999999999996E-4</v>
      </c>
      <c r="E38" s="57">
        <f t="shared" si="2"/>
        <v>0</v>
      </c>
      <c r="F38" s="199">
        <f>C38*'System Calculation'!$I$14</f>
        <v>0</v>
      </c>
      <c r="G38" s="20">
        <f>'SC_Loop 1'!G38</f>
        <v>4.0800000000000003E-3</v>
      </c>
      <c r="H38" s="57">
        <f t="shared" si="3"/>
        <v>0</v>
      </c>
      <c r="I38" s="49"/>
      <c r="J38" s="49"/>
      <c r="K38" s="49">
        <f t="shared" si="7"/>
        <v>0</v>
      </c>
      <c r="L38" s="49"/>
      <c r="M38" s="106" t="str">
        <f>IF(K38&lt;&gt;0,K38*10," ")</f>
        <v xml:space="preserve"> </v>
      </c>
      <c r="O38" s="13" t="str">
        <f t="shared" ref="O38:O43" si="9">IF(AND(C38&gt;0),"Info: External 24V needed. Control Panel could provide from 24Vaux, if 500mA maximum current isn't exceeded."," ")</f>
        <v xml:space="preserve"> </v>
      </c>
    </row>
    <row r="39" spans="1:15" ht="25" x14ac:dyDescent="0.25">
      <c r="A39" s="115" t="str">
        <f>'SC_Loop 1'!A39</f>
        <v>MAD-429-I</v>
      </c>
      <c r="B39" s="208" t="str">
        <f>'SC_Loop 1'!B39</f>
        <v>10 outputs/10 inputs addressable module</v>
      </c>
      <c r="C39" s="97"/>
      <c r="D39" s="20">
        <f>'SC_Loop 1'!D39</f>
        <v>3.7659999999999999E-4</v>
      </c>
      <c r="E39" s="57">
        <f t="shared" si="2"/>
        <v>0</v>
      </c>
      <c r="F39" s="199">
        <f>C39*'System Calculation'!$I$14</f>
        <v>0</v>
      </c>
      <c r="G39" s="20">
        <f>'SC_Loop 1'!G39</f>
        <v>5.0000000000000001E-3</v>
      </c>
      <c r="H39" s="57">
        <f t="shared" si="3"/>
        <v>0</v>
      </c>
      <c r="I39" s="49"/>
      <c r="J39" s="49"/>
      <c r="K39" s="49">
        <f t="shared" si="7"/>
        <v>0</v>
      </c>
      <c r="L39" s="49"/>
      <c r="M39" s="106" t="str">
        <f>IF(K39&lt;&gt;0,K39*20," ")</f>
        <v xml:space="preserve"> </v>
      </c>
      <c r="O39" s="13" t="str">
        <f t="shared" si="9"/>
        <v xml:space="preserve"> </v>
      </c>
    </row>
    <row r="40" spans="1:15" ht="25" x14ac:dyDescent="0.25">
      <c r="A40" s="115" t="str">
        <f>'SC_Loop 1'!A40</f>
        <v>MAD-431 &amp; MAD-431-I</v>
      </c>
      <c r="B40" s="208" t="str">
        <f>'SC_Loop 1'!B40</f>
        <v>1 output 24V addressable module</v>
      </c>
      <c r="C40" s="97"/>
      <c r="D40" s="20">
        <f>'SC_Loop 1'!D40</f>
        <v>2.1499999999999999E-4</v>
      </c>
      <c r="E40" s="57">
        <f t="shared" si="2"/>
        <v>0</v>
      </c>
      <c r="F40" s="199">
        <f>C40*'System Calculation'!$I$14</f>
        <v>0</v>
      </c>
      <c r="G40" s="20">
        <f>'SC_Loop 1'!G40</f>
        <v>3.6099999999999999E-3</v>
      </c>
      <c r="H40" s="57">
        <f t="shared" si="3"/>
        <v>0</v>
      </c>
      <c r="I40" s="49"/>
      <c r="J40" s="49"/>
      <c r="K40" s="49" t="str">
        <f>IF(C40&lt;&gt;0,C40," ")</f>
        <v xml:space="preserve"> </v>
      </c>
      <c r="L40" s="49"/>
      <c r="M40" s="106" t="str">
        <f>IF(K40&lt;&gt;0,K40," ")</f>
        <v xml:space="preserve"> </v>
      </c>
      <c r="O40" s="13" t="str">
        <f t="shared" si="9"/>
        <v xml:space="preserve"> </v>
      </c>
    </row>
    <row r="41" spans="1:15" ht="25" x14ac:dyDescent="0.25">
      <c r="A41" s="115" t="str">
        <f>'SC_Loop 1'!A41</f>
        <v>MAD-432 &amp; MAD-432-I</v>
      </c>
      <c r="B41" s="208" t="str">
        <f>'SC_Loop 1'!B41</f>
        <v>2 outputs 24V addressable module</v>
      </c>
      <c r="C41" s="97"/>
      <c r="D41" s="20">
        <f>'SC_Loop 1'!D41</f>
        <v>2.0330000000000001E-4</v>
      </c>
      <c r="E41" s="57">
        <f t="shared" si="2"/>
        <v>0</v>
      </c>
      <c r="F41" s="199">
        <f>C41*'System Calculation'!$I$14</f>
        <v>0</v>
      </c>
      <c r="G41" s="20">
        <f>'SC_Loop 1'!G41</f>
        <v>6.7999999999999996E-3</v>
      </c>
      <c r="H41" s="57">
        <f t="shared" si="3"/>
        <v>0</v>
      </c>
      <c r="I41" s="49"/>
      <c r="J41" s="49"/>
      <c r="K41" s="49" t="str">
        <f t="shared" ref="K41:K43" si="10">IF(C41&lt;&gt;0,C41," ")</f>
        <v xml:space="preserve"> </v>
      </c>
      <c r="L41" s="49"/>
      <c r="M41" s="106" t="str">
        <f>IF(K41&lt;&gt;0,K41," ")</f>
        <v xml:space="preserve"> </v>
      </c>
      <c r="O41" s="13" t="str">
        <f t="shared" si="9"/>
        <v xml:space="preserve"> </v>
      </c>
    </row>
    <row r="42" spans="1:15" ht="25" x14ac:dyDescent="0.25">
      <c r="A42" s="115" t="str">
        <f>'SC_Loop 1'!A42</f>
        <v>MAD-441 &amp; MAD-441-I</v>
      </c>
      <c r="B42" s="208" t="str">
        <f>'SC_Loop 1'!B42</f>
        <v>1 conventional zone addressable module</v>
      </c>
      <c r="C42" s="97"/>
      <c r="D42" s="20">
        <f>'SC_Loop 1'!D42</f>
        <v>1.8780000000000001E-4</v>
      </c>
      <c r="E42" s="57">
        <f t="shared" si="2"/>
        <v>0</v>
      </c>
      <c r="F42" s="199">
        <f>C42*'System Calculation'!$I$14</f>
        <v>0</v>
      </c>
      <c r="G42" s="20">
        <f>'SC_Loop 1'!G42</f>
        <v>3.0400000000000002E-3</v>
      </c>
      <c r="H42" s="57">
        <f t="shared" si="3"/>
        <v>0</v>
      </c>
      <c r="I42" s="49"/>
      <c r="J42" s="49"/>
      <c r="K42" s="49" t="str">
        <f t="shared" si="10"/>
        <v xml:space="preserve"> </v>
      </c>
      <c r="L42" s="49"/>
      <c r="M42" s="106" t="str">
        <f t="shared" ref="M42:M43" si="11">IF(K42&lt;&gt;0,K42," ")</f>
        <v xml:space="preserve"> </v>
      </c>
      <c r="O42" s="13" t="str">
        <f t="shared" si="9"/>
        <v xml:space="preserve"> </v>
      </c>
    </row>
    <row r="43" spans="1:15" ht="25" x14ac:dyDescent="0.25">
      <c r="A43" s="115" t="str">
        <f>'SC_Loop 1'!A43</f>
        <v>MAD-442 &amp; MAD-442-I</v>
      </c>
      <c r="B43" s="208" t="str">
        <f>'SC_Loop 1'!B43</f>
        <v>2 conventionals zones addressable module</v>
      </c>
      <c r="C43" s="97"/>
      <c r="D43" s="20">
        <f>'SC_Loop 1'!D43</f>
        <v>1.8780000000000001E-4</v>
      </c>
      <c r="E43" s="57">
        <f t="shared" si="2"/>
        <v>0</v>
      </c>
      <c r="F43" s="199">
        <f>C43*'System Calculation'!$I$14</f>
        <v>0</v>
      </c>
      <c r="G43" s="20">
        <f>'SC_Loop 1'!G43</f>
        <v>5.8399999999999997E-3</v>
      </c>
      <c r="H43" s="57">
        <f t="shared" si="3"/>
        <v>0</v>
      </c>
      <c r="I43" s="49"/>
      <c r="J43" s="49"/>
      <c r="K43" s="49" t="str">
        <f t="shared" si="10"/>
        <v xml:space="preserve"> </v>
      </c>
      <c r="L43" s="49"/>
      <c r="M43" s="106" t="str">
        <f t="shared" si="11"/>
        <v xml:space="preserve"> </v>
      </c>
      <c r="O43" s="13" t="str">
        <f t="shared" si="9"/>
        <v xml:space="preserve"> </v>
      </c>
    </row>
    <row r="44" spans="1:15" ht="25" x14ac:dyDescent="0.25">
      <c r="A44" s="115" t="str">
        <f>'SC_Loop 1'!A44</f>
        <v>MAD-450 &amp; MAD-450-I</v>
      </c>
      <c r="B44" s="208" t="str">
        <f>'SC_Loop 1'!B44</f>
        <v>Addressable manual call point with isolator</v>
      </c>
      <c r="C44" s="97"/>
      <c r="D44" s="20">
        <f>'SC_Loop 1'!D44</f>
        <v>1.7659999999999998E-4</v>
      </c>
      <c r="E44" s="57">
        <f t="shared" si="2"/>
        <v>0</v>
      </c>
      <c r="F44" s="199">
        <f>C44*'System Calculation'!$I$12</f>
        <v>0</v>
      </c>
      <c r="G44" s="20">
        <f>'SC_Loop 1'!G44</f>
        <v>3.0299999999999997E-3</v>
      </c>
      <c r="H44" s="57">
        <f t="shared" si="3"/>
        <v>0</v>
      </c>
      <c r="I44" s="49"/>
      <c r="J44" s="49" t="str">
        <f t="shared" ref="J44:J45" si="12">IF(C44&lt;&gt;0,C44," ")</f>
        <v xml:space="preserve"> </v>
      </c>
      <c r="K44" s="49"/>
      <c r="L44" s="49"/>
      <c r="M44" s="106" t="str">
        <f t="shared" si="4"/>
        <v xml:space="preserve"> </v>
      </c>
    </row>
    <row r="45" spans="1:15" ht="25" x14ac:dyDescent="0.25">
      <c r="A45" s="115" t="str">
        <f>'SC_Loop 1'!A45</f>
        <v>MAD-451-I</v>
      </c>
      <c r="B45" s="208" t="str">
        <f>'SC_Loop 1'!B45</f>
        <v>Addressable manual call point with isolator</v>
      </c>
      <c r="C45" s="97"/>
      <c r="D45" s="20">
        <f>'SC_Loop 1'!D45</f>
        <v>1.774E-4</v>
      </c>
      <c r="E45" s="57">
        <f t="shared" si="2"/>
        <v>0</v>
      </c>
      <c r="F45" s="199">
        <f>C45*'System Calculation'!$I$12</f>
        <v>0</v>
      </c>
      <c r="G45" s="20">
        <f>'SC_Loop 1'!G45</f>
        <v>3.0000000000000001E-3</v>
      </c>
      <c r="H45" s="57">
        <f t="shared" si="3"/>
        <v>0</v>
      </c>
      <c r="I45" s="49"/>
      <c r="J45" s="49" t="str">
        <f t="shared" si="12"/>
        <v xml:space="preserve"> </v>
      </c>
      <c r="K45" s="49"/>
      <c r="L45" s="49"/>
      <c r="M45" s="106" t="str">
        <f t="shared" si="4"/>
        <v xml:space="preserve"> </v>
      </c>
    </row>
    <row r="46" spans="1:15" ht="25" x14ac:dyDescent="0.25">
      <c r="A46" s="115" t="str">
        <f>'SC_Loop 1'!A46</f>
        <v>MAD-461-I</v>
      </c>
      <c r="B46" s="208" t="str">
        <f>'SC_Loop 1'!B46</f>
        <v>Addressable sounder with isolator</v>
      </c>
      <c r="C46" s="97"/>
      <c r="D46" s="20">
        <f>'SC_Loop 1'!D46</f>
        <v>1.7689999999999999E-4</v>
      </c>
      <c r="E46" s="57">
        <f t="shared" si="2"/>
        <v>0</v>
      </c>
      <c r="F46" s="199">
        <f>C46*'System Calculation'!$I$13</f>
        <v>0</v>
      </c>
      <c r="G46" s="20">
        <f>'SC_Loop 1'!G46</f>
        <v>8.3499999999999998E-3</v>
      </c>
      <c r="H46" s="57">
        <f>F46*G46</f>
        <v>0</v>
      </c>
      <c r="I46" s="49" t="str">
        <f>IF(C46*H46=0," ",H46)</f>
        <v xml:space="preserve"> </v>
      </c>
      <c r="J46" s="49"/>
      <c r="K46" s="49"/>
      <c r="L46" s="49" t="str">
        <f t="shared" ref="L46:L66" si="13">IF(C46&lt;&gt;0,C46," ")</f>
        <v xml:space="preserve"> </v>
      </c>
      <c r="M46" s="106" t="str">
        <f>IF(L46&lt;&gt;0,L46," ")</f>
        <v xml:space="preserve"> </v>
      </c>
    </row>
    <row r="47" spans="1:15" ht="25" x14ac:dyDescent="0.25">
      <c r="A47" s="115" t="str">
        <f>'SC_Loop 1'!A47</f>
        <v>MAD-464-I Low Volume (78 dB)</v>
      </c>
      <c r="B47" s="208" t="str">
        <f>'SC_Loop 1'!B47</f>
        <v>Addressable sounder with isolator</v>
      </c>
      <c r="C47" s="97"/>
      <c r="D47" s="20">
        <f>'SC_Loop 1'!D47</f>
        <v>1.7649999999999998E-4</v>
      </c>
      <c r="E47" s="57">
        <f t="shared" si="2"/>
        <v>0</v>
      </c>
      <c r="F47" s="199">
        <f>C47*'System Calculation'!$I$13</f>
        <v>0</v>
      </c>
      <c r="G47" s="20">
        <f>'SC_Loop 1'!G47</f>
        <v>1.2320000000000001E-2</v>
      </c>
      <c r="H47" s="57">
        <f t="shared" si="3"/>
        <v>0</v>
      </c>
      <c r="I47" s="49" t="str">
        <f t="shared" ref="I47:I66" si="14">IF(C47*H47=0," ",H47)</f>
        <v xml:space="preserve"> </v>
      </c>
      <c r="J47" s="49"/>
      <c r="K47" s="49"/>
      <c r="L47" s="49" t="str">
        <f t="shared" si="13"/>
        <v xml:space="preserve"> </v>
      </c>
      <c r="M47" s="106" t="str">
        <f t="shared" ref="M47:M66" si="15">IF(L47&lt;&gt;0,L47," ")</f>
        <v xml:space="preserve"> </v>
      </c>
    </row>
    <row r="48" spans="1:15" ht="25" x14ac:dyDescent="0.25">
      <c r="A48" s="115" t="str">
        <f>'SC_Loop 1'!A48</f>
        <v>MAD-464-I Medium Volume (93 dB)</v>
      </c>
      <c r="B48" s="208" t="str">
        <f>'SC_Loop 1'!B48</f>
        <v>Addressable sounder with isolator</v>
      </c>
      <c r="C48" s="97"/>
      <c r="D48" s="20">
        <f>'SC_Loop 1'!D48</f>
        <v>1.7649999999999998E-4</v>
      </c>
      <c r="E48" s="57">
        <f t="shared" si="2"/>
        <v>0</v>
      </c>
      <c r="F48" s="199">
        <f>C48*'System Calculation'!$I$13</f>
        <v>0</v>
      </c>
      <c r="G48" s="20">
        <f>'SC_Loop 1'!G48</f>
        <v>1.2320000000000001E-2</v>
      </c>
      <c r="H48" s="57">
        <f t="shared" si="3"/>
        <v>0</v>
      </c>
      <c r="I48" s="49" t="str">
        <f t="shared" si="14"/>
        <v xml:space="preserve"> </v>
      </c>
      <c r="J48" s="49"/>
      <c r="K48" s="49"/>
      <c r="L48" s="49" t="str">
        <f t="shared" si="13"/>
        <v xml:space="preserve"> </v>
      </c>
      <c r="M48" s="106" t="str">
        <f t="shared" si="15"/>
        <v xml:space="preserve"> </v>
      </c>
    </row>
    <row r="49" spans="1:15" ht="25" x14ac:dyDescent="0.25">
      <c r="A49" s="115" t="str">
        <f>'SC_Loop 1'!A49</f>
        <v>MAD-464-I High Volume (97 dB)</v>
      </c>
      <c r="B49" s="208" t="str">
        <f>'SC_Loop 1'!B49</f>
        <v>Addressable sounder with isolator</v>
      </c>
      <c r="C49" s="97"/>
      <c r="D49" s="20">
        <f>'SC_Loop 1'!D49</f>
        <v>1.7649999999999998E-4</v>
      </c>
      <c r="E49" s="57">
        <f t="shared" si="2"/>
        <v>0</v>
      </c>
      <c r="F49" s="199">
        <f>C49*'System Calculation'!$I$13</f>
        <v>0</v>
      </c>
      <c r="G49" s="20">
        <f>'SC_Loop 1'!G49</f>
        <v>1.2320000000000001E-2</v>
      </c>
      <c r="H49" s="57">
        <f t="shared" si="3"/>
        <v>0</v>
      </c>
      <c r="I49" s="49" t="str">
        <f t="shared" si="14"/>
        <v xml:space="preserve"> </v>
      </c>
      <c r="J49" s="49"/>
      <c r="K49" s="49"/>
      <c r="L49" s="49" t="str">
        <f t="shared" si="13"/>
        <v xml:space="preserve"> </v>
      </c>
      <c r="M49" s="106" t="str">
        <f t="shared" si="15"/>
        <v xml:space="preserve"> </v>
      </c>
    </row>
    <row r="50" spans="1:15" ht="37.5" x14ac:dyDescent="0.25">
      <c r="A50" s="115" t="str">
        <f>'SC_Loop 1'!A50</f>
        <v>MAD-465-I Low Volume (78 dB)</v>
      </c>
      <c r="B50" s="208" t="str">
        <f>'SC_Loop 1'!B50</f>
        <v>Addressable sounder with beacon and isolator</v>
      </c>
      <c r="C50" s="97"/>
      <c r="D50" s="20">
        <f>'SC_Loop 1'!D50</f>
        <v>1.773E-4</v>
      </c>
      <c r="E50" s="57">
        <f t="shared" si="2"/>
        <v>0</v>
      </c>
      <c r="F50" s="199">
        <f>C50*'System Calculation'!$I$13</f>
        <v>0</v>
      </c>
      <c r="G50" s="20">
        <f>'SC_Loop 1'!G50</f>
        <v>1.2320000000000001E-2</v>
      </c>
      <c r="H50" s="57">
        <f t="shared" si="3"/>
        <v>0</v>
      </c>
      <c r="I50" s="49" t="str">
        <f t="shared" si="14"/>
        <v xml:space="preserve"> </v>
      </c>
      <c r="J50" s="49"/>
      <c r="K50" s="49"/>
      <c r="L50" s="49" t="str">
        <f t="shared" si="13"/>
        <v xml:space="preserve"> </v>
      </c>
      <c r="M50" s="106" t="str">
        <f t="shared" si="15"/>
        <v xml:space="preserve"> </v>
      </c>
    </row>
    <row r="51" spans="1:15" ht="37.5" x14ac:dyDescent="0.25">
      <c r="A51" s="115" t="str">
        <f>'SC_Loop 1'!A51</f>
        <v>MAD-465-I Medium Volume (93 dB)</v>
      </c>
      <c r="B51" s="208" t="str">
        <f>'SC_Loop 1'!B51</f>
        <v>Addressable sounder with beacon and isolator</v>
      </c>
      <c r="C51" s="97"/>
      <c r="D51" s="20">
        <f>'SC_Loop 1'!D51</f>
        <v>1.773E-4</v>
      </c>
      <c r="E51" s="57">
        <f t="shared" si="2"/>
        <v>0</v>
      </c>
      <c r="F51" s="199">
        <f>C51*'System Calculation'!$I$13</f>
        <v>0</v>
      </c>
      <c r="G51" s="20">
        <f>'SC_Loop 1'!G51</f>
        <v>1.2320000000000001E-2</v>
      </c>
      <c r="H51" s="57">
        <f t="shared" si="3"/>
        <v>0</v>
      </c>
      <c r="I51" s="49" t="str">
        <f t="shared" si="14"/>
        <v xml:space="preserve"> </v>
      </c>
      <c r="J51" s="49"/>
      <c r="K51" s="49"/>
      <c r="L51" s="49" t="str">
        <f t="shared" si="13"/>
        <v xml:space="preserve"> </v>
      </c>
      <c r="M51" s="106" t="str">
        <f t="shared" si="15"/>
        <v xml:space="preserve"> </v>
      </c>
    </row>
    <row r="52" spans="1:15" ht="37.5" x14ac:dyDescent="0.25">
      <c r="A52" s="115" t="str">
        <f>'SC_Loop 1'!A52</f>
        <v>MAD-465-I High Volume (97 dB)</v>
      </c>
      <c r="B52" s="208" t="str">
        <f>'SC_Loop 1'!B52</f>
        <v>Addressable sounder with beacon and isolator</v>
      </c>
      <c r="C52" s="97"/>
      <c r="D52" s="20">
        <f>'SC_Loop 1'!D52</f>
        <v>1.773E-4</v>
      </c>
      <c r="E52" s="57">
        <f t="shared" si="2"/>
        <v>0</v>
      </c>
      <c r="F52" s="199">
        <f>C52*'System Calculation'!$I$13</f>
        <v>0</v>
      </c>
      <c r="G52" s="20">
        <f>'SC_Loop 1'!G52</f>
        <v>1.2320000000000001E-2</v>
      </c>
      <c r="H52" s="57">
        <f t="shared" si="3"/>
        <v>0</v>
      </c>
      <c r="I52" s="49" t="str">
        <f t="shared" si="14"/>
        <v xml:space="preserve"> </v>
      </c>
      <c r="J52" s="49"/>
      <c r="K52" s="49"/>
      <c r="L52" s="49" t="str">
        <f t="shared" si="13"/>
        <v xml:space="preserve"> </v>
      </c>
      <c r="M52" s="106" t="str">
        <f t="shared" si="15"/>
        <v xml:space="preserve"> </v>
      </c>
    </row>
    <row r="53" spans="1:15" ht="25" x14ac:dyDescent="0.25">
      <c r="A53" s="115" t="str">
        <f>'SC_Loop 1'!A53</f>
        <v>MAD-564-I (loop)</v>
      </c>
      <c r="B53" s="208" t="str">
        <f>'SC_Loop 1'!B53</f>
        <v>Addressable sounder with isolator</v>
      </c>
      <c r="C53" s="97"/>
      <c r="D53" s="20">
        <f>'SC_Loop 1'!D53</f>
        <v>1.58E-3</v>
      </c>
      <c r="E53" s="57">
        <f t="shared" si="2"/>
        <v>0</v>
      </c>
      <c r="F53" s="199">
        <f>C53*'System Calculation'!$I$13</f>
        <v>0</v>
      </c>
      <c r="G53" s="20">
        <f>'SC_Loop 1'!G53</f>
        <v>2.111E-2</v>
      </c>
      <c r="H53" s="57">
        <f t="shared" si="3"/>
        <v>0</v>
      </c>
      <c r="I53" s="49" t="str">
        <f t="shared" si="14"/>
        <v xml:space="preserve"> </v>
      </c>
      <c r="J53" s="49"/>
      <c r="K53" s="49"/>
      <c r="L53" s="49" t="str">
        <f t="shared" si="13"/>
        <v xml:space="preserve"> </v>
      </c>
      <c r="M53" s="106" t="str">
        <f t="shared" si="15"/>
        <v xml:space="preserve"> </v>
      </c>
    </row>
    <row r="54" spans="1:15" ht="25" x14ac:dyDescent="0.25">
      <c r="A54" s="115" t="str">
        <f>'SC_Loop 1'!A54</f>
        <v>MAD-564-I (External PS)</v>
      </c>
      <c r="B54" s="208" t="str">
        <f>'SC_Loop 1'!B54</f>
        <v>Addressable sounder with isolator</v>
      </c>
      <c r="C54" s="97"/>
      <c r="D54" s="20">
        <f>'SC_Loop 1'!D54</f>
        <v>3.5E-4</v>
      </c>
      <c r="E54" s="57">
        <f t="shared" si="2"/>
        <v>0</v>
      </c>
      <c r="F54" s="199">
        <f>C54*'System Calculation'!$I$13</f>
        <v>0</v>
      </c>
      <c r="G54" s="20">
        <f>'SC_Loop 1'!G54</f>
        <v>8.0000000000000004E-4</v>
      </c>
      <c r="H54" s="57">
        <f t="shared" si="3"/>
        <v>0</v>
      </c>
      <c r="I54" s="49" t="str">
        <f t="shared" si="14"/>
        <v xml:space="preserve"> </v>
      </c>
      <c r="J54" s="49"/>
      <c r="K54" s="49"/>
      <c r="L54" s="49" t="str">
        <f t="shared" si="13"/>
        <v xml:space="preserve"> </v>
      </c>
      <c r="M54" s="106" t="str">
        <f t="shared" si="15"/>
        <v xml:space="preserve"> </v>
      </c>
      <c r="O54" s="13" t="str">
        <f>IF(AND(C53&gt;0),"Info: External 24V needed. EN 54-4 certificate."," ")</f>
        <v xml:space="preserve"> </v>
      </c>
    </row>
    <row r="55" spans="1:15" ht="25" x14ac:dyDescent="0.25">
      <c r="A55" s="115" t="str">
        <f>'SC_Loop 1'!A55</f>
        <v>MAD-565-I (loop)</v>
      </c>
      <c r="B55" s="208" t="str">
        <f>'SC_Loop 1'!B55</f>
        <v>Addressable sounder with VAD and isolator</v>
      </c>
      <c r="C55" s="97"/>
      <c r="D55" s="20">
        <f>'SC_Loop 1'!D55</f>
        <v>1.58E-3</v>
      </c>
      <c r="E55" s="57">
        <f t="shared" si="2"/>
        <v>0</v>
      </c>
      <c r="F55" s="199">
        <f>C55*'System Calculation'!$I$13</f>
        <v>0</v>
      </c>
      <c r="G55" s="20">
        <f>'SC_Loop 1'!G55</f>
        <v>3.3450000000000001E-2</v>
      </c>
      <c r="H55" s="57">
        <f t="shared" si="3"/>
        <v>0</v>
      </c>
      <c r="I55" s="49" t="str">
        <f t="shared" si="14"/>
        <v xml:space="preserve"> </v>
      </c>
      <c r="J55" s="49"/>
      <c r="K55" s="49"/>
      <c r="L55" s="49" t="str">
        <f t="shared" si="13"/>
        <v xml:space="preserve"> </v>
      </c>
      <c r="M55" s="106" t="str">
        <f t="shared" si="15"/>
        <v xml:space="preserve"> </v>
      </c>
    </row>
    <row r="56" spans="1:15" ht="25" x14ac:dyDescent="0.25">
      <c r="A56" s="115" t="str">
        <f>'SC_Loop 1'!A56</f>
        <v>MAD-565-I (External PS)</v>
      </c>
      <c r="B56" s="208" t="str">
        <f>'SC_Loop 1'!B56</f>
        <v>Addressable sounder with VAD and isolator</v>
      </c>
      <c r="C56" s="97"/>
      <c r="D56" s="20">
        <f>'SC_Loop 1'!D56</f>
        <v>3.5E-4</v>
      </c>
      <c r="E56" s="57">
        <f t="shared" si="2"/>
        <v>0</v>
      </c>
      <c r="F56" s="199">
        <f>C56*'System Calculation'!$I$13</f>
        <v>0</v>
      </c>
      <c r="G56" s="20">
        <f>'SC_Loop 1'!G56</f>
        <v>8.0000000000000004E-4</v>
      </c>
      <c r="H56" s="57">
        <f t="shared" si="3"/>
        <v>0</v>
      </c>
      <c r="I56" s="49" t="str">
        <f t="shared" si="14"/>
        <v xml:space="preserve"> </v>
      </c>
      <c r="J56" s="49"/>
      <c r="K56" s="49"/>
      <c r="L56" s="49" t="str">
        <f t="shared" si="13"/>
        <v xml:space="preserve"> </v>
      </c>
      <c r="M56" s="106" t="str">
        <f t="shared" si="15"/>
        <v xml:space="preserve"> </v>
      </c>
      <c r="O56" s="13" t="str">
        <f>IF(AND(C55&gt;0),"Info: External 24V needed. EN 54-4 certificate."," ")</f>
        <v xml:space="preserve"> </v>
      </c>
    </row>
    <row r="57" spans="1:15" ht="25" x14ac:dyDescent="0.25">
      <c r="A57" s="115" t="str">
        <f>'SC_Loop 1'!A57</f>
        <v>MAD-565-I - only flash (loop)</v>
      </c>
      <c r="B57" s="208" t="str">
        <f>'SC_Loop 1'!B57</f>
        <v>Addressable VAD with isolator</v>
      </c>
      <c r="C57" s="97"/>
      <c r="D57" s="20">
        <f>'SC_Loop 1'!D57</f>
        <v>1.58E-3</v>
      </c>
      <c r="E57" s="57">
        <f>C57*D57</f>
        <v>0</v>
      </c>
      <c r="F57" s="199">
        <f>C57*'System Calculation'!$I$13</f>
        <v>0</v>
      </c>
      <c r="G57" s="20">
        <f>'SC_Loop 1'!G57</f>
        <v>3.3450000000000001E-2</v>
      </c>
      <c r="H57" s="57">
        <f t="shared" si="3"/>
        <v>0</v>
      </c>
      <c r="I57" s="49" t="str">
        <f t="shared" si="14"/>
        <v xml:space="preserve"> </v>
      </c>
      <c r="J57" s="49"/>
      <c r="K57" s="49"/>
      <c r="L57" s="49" t="str">
        <f t="shared" si="13"/>
        <v xml:space="preserve"> </v>
      </c>
      <c r="M57" s="106" t="str">
        <f t="shared" si="15"/>
        <v xml:space="preserve"> </v>
      </c>
    </row>
    <row r="58" spans="1:15" ht="25" x14ac:dyDescent="0.25">
      <c r="A58" s="115" t="str">
        <f>'SC_Loop 1'!A58</f>
        <v>MAD-565-I - only flash (External PS)</v>
      </c>
      <c r="B58" s="208" t="str">
        <f>'SC_Loop 1'!B58</f>
        <v>Addressable VAD with isolator</v>
      </c>
      <c r="C58" s="97"/>
      <c r="D58" s="20">
        <f>'SC_Loop 1'!D58</f>
        <v>3.5E-4</v>
      </c>
      <c r="E58" s="57">
        <f t="shared" ref="E58" si="16">C58*D58</f>
        <v>0</v>
      </c>
      <c r="F58" s="199">
        <f>C58*'System Calculation'!$I$13</f>
        <v>0</v>
      </c>
      <c r="G58" s="20">
        <f>'SC_Loop 1'!G58</f>
        <v>8.0000000000000004E-4</v>
      </c>
      <c r="H58" s="57">
        <f t="shared" si="3"/>
        <v>0</v>
      </c>
      <c r="I58" s="49" t="str">
        <f t="shared" si="14"/>
        <v xml:space="preserve"> </v>
      </c>
      <c r="J58" s="49"/>
      <c r="K58" s="49"/>
      <c r="L58" s="49" t="str">
        <f t="shared" si="13"/>
        <v xml:space="preserve"> </v>
      </c>
      <c r="M58" s="106" t="str">
        <f t="shared" si="15"/>
        <v xml:space="preserve"> </v>
      </c>
      <c r="O58" s="13" t="str">
        <f>IF(AND(C57&gt;0),"Info: External 24V needed. EN 54-4 certificate."," ")</f>
        <v xml:space="preserve"> </v>
      </c>
    </row>
    <row r="59" spans="1:15" ht="25" x14ac:dyDescent="0.25">
      <c r="A59" s="115" t="str">
        <f>'SC_Loop 1'!A59</f>
        <v>MAD-567-I (loop)</v>
      </c>
      <c r="B59" s="208" t="str">
        <f>'SC_Loop 1'!B59</f>
        <v>Sounder base with isolator</v>
      </c>
      <c r="C59" s="97"/>
      <c r="D59" s="20">
        <f>'SC_Loop 1'!D59</f>
        <v>1.17E-3</v>
      </c>
      <c r="E59" s="57">
        <f t="shared" si="2"/>
        <v>0</v>
      </c>
      <c r="F59" s="199">
        <f>C59*'System Calculation'!$I$13</f>
        <v>0</v>
      </c>
      <c r="G59" s="20">
        <f>'SC_Loop 1'!G59</f>
        <v>8.9499999999999996E-3</v>
      </c>
      <c r="H59" s="57">
        <f t="shared" si="3"/>
        <v>0</v>
      </c>
      <c r="I59" s="49" t="str">
        <f t="shared" si="14"/>
        <v xml:space="preserve"> </v>
      </c>
      <c r="J59" s="49"/>
      <c r="K59" s="49"/>
      <c r="L59" s="49" t="str">
        <f t="shared" si="13"/>
        <v xml:space="preserve"> </v>
      </c>
      <c r="M59" s="106" t="str">
        <f t="shared" si="15"/>
        <v xml:space="preserve"> </v>
      </c>
    </row>
    <row r="60" spans="1:15" ht="25" x14ac:dyDescent="0.25">
      <c r="A60" s="115" t="str">
        <f>'SC_Loop 1'!A60</f>
        <v>MAD-567-I (External PS)</v>
      </c>
      <c r="B60" s="208" t="str">
        <f>'SC_Loop 1'!B60</f>
        <v>Sounder base with isolator</v>
      </c>
      <c r="C60" s="97"/>
      <c r="D60" s="20">
        <f>'SC_Loop 1'!D60</f>
        <v>2.61E-4</v>
      </c>
      <c r="E60" s="57">
        <f t="shared" si="2"/>
        <v>0</v>
      </c>
      <c r="F60" s="199">
        <f>C60*'System Calculation'!$I$13</f>
        <v>0</v>
      </c>
      <c r="G60" s="20">
        <f>'SC_Loop 1'!G60</f>
        <v>7.1000000000000002E-4</v>
      </c>
      <c r="H60" s="57">
        <f t="shared" si="3"/>
        <v>0</v>
      </c>
      <c r="I60" s="49" t="str">
        <f t="shared" si="14"/>
        <v xml:space="preserve"> </v>
      </c>
      <c r="J60" s="49"/>
      <c r="K60" s="49"/>
      <c r="L60" s="49" t="str">
        <f t="shared" si="13"/>
        <v xml:space="preserve"> </v>
      </c>
      <c r="M60" s="106" t="str">
        <f t="shared" si="15"/>
        <v xml:space="preserve"> </v>
      </c>
      <c r="O60" s="13" t="str">
        <f>IF(AND(C59&gt;0),"Info: External 24V needed. EN 54-4 certificate."," ")</f>
        <v xml:space="preserve"> </v>
      </c>
    </row>
    <row r="61" spans="1:15" ht="25" x14ac:dyDescent="0.25">
      <c r="A61" s="115" t="str">
        <f>'SC_Loop 1'!A61</f>
        <v>MAD-569-I (loop)</v>
      </c>
      <c r="B61" s="208" t="str">
        <f>'SC_Loop 1'!B61</f>
        <v>Sounder &amp; VAD base with isolator</v>
      </c>
      <c r="C61" s="97"/>
      <c r="D61" s="20">
        <f>'SC_Loop 1'!D61</f>
        <v>1.17E-3</v>
      </c>
      <c r="E61" s="57">
        <f t="shared" si="2"/>
        <v>0</v>
      </c>
      <c r="F61" s="199">
        <f>C61*'System Calculation'!$I$13</f>
        <v>0</v>
      </c>
      <c r="G61" s="20">
        <f>'SC_Loop 1'!G61</f>
        <v>2.3260000000000003E-2</v>
      </c>
      <c r="H61" s="57">
        <f t="shared" si="3"/>
        <v>0</v>
      </c>
      <c r="I61" s="49" t="str">
        <f t="shared" si="14"/>
        <v xml:space="preserve"> </v>
      </c>
      <c r="J61" s="49"/>
      <c r="K61" s="49"/>
      <c r="L61" s="49" t="str">
        <f t="shared" si="13"/>
        <v xml:space="preserve"> </v>
      </c>
      <c r="M61" s="106" t="str">
        <f t="shared" si="15"/>
        <v xml:space="preserve"> </v>
      </c>
    </row>
    <row r="62" spans="1:15" ht="25" x14ac:dyDescent="0.25">
      <c r="A62" s="115" t="str">
        <f>'SC_Loop 1'!A62</f>
        <v>MAD-569-I (External PS)</v>
      </c>
      <c r="B62" s="208" t="str">
        <f>'SC_Loop 1'!B62</f>
        <v>Sounder &amp; VAD base with isolator</v>
      </c>
      <c r="C62" s="97"/>
      <c r="D62" s="20">
        <f>'SC_Loop 1'!D62</f>
        <v>2.5889999999999995E-4</v>
      </c>
      <c r="E62" s="57">
        <f t="shared" si="2"/>
        <v>0</v>
      </c>
      <c r="F62" s="199">
        <f>C62*'System Calculation'!$I$13</f>
        <v>0</v>
      </c>
      <c r="G62" s="20">
        <f>'SC_Loop 1'!G62</f>
        <v>7.1000000000000002E-4</v>
      </c>
      <c r="H62" s="57">
        <f t="shared" si="3"/>
        <v>0</v>
      </c>
      <c r="I62" s="49" t="str">
        <f t="shared" si="14"/>
        <v xml:space="preserve"> </v>
      </c>
      <c r="J62" s="49"/>
      <c r="K62" s="49"/>
      <c r="L62" s="49" t="str">
        <f t="shared" si="13"/>
        <v xml:space="preserve"> </v>
      </c>
      <c r="M62" s="106" t="str">
        <f t="shared" si="15"/>
        <v xml:space="preserve"> </v>
      </c>
      <c r="O62" s="13" t="str">
        <f>IF(AND(C61&gt;0),"Info: External 24V needed. EN 54-4 certificate."," ")</f>
        <v xml:space="preserve"> </v>
      </c>
    </row>
    <row r="63" spans="1:15" ht="25" x14ac:dyDescent="0.25">
      <c r="A63" s="115" t="str">
        <f>'SC_Loop 1'!A63</f>
        <v>MAD-569-I - only flash (loop)</v>
      </c>
      <c r="B63" s="208" t="str">
        <f>'SC_Loop 1'!B63</f>
        <v>VAD base with isolator</v>
      </c>
      <c r="C63" s="97"/>
      <c r="D63" s="20">
        <f>'SC_Loop 1'!D63</f>
        <v>1.17E-3</v>
      </c>
      <c r="E63" s="57">
        <f t="shared" si="2"/>
        <v>0</v>
      </c>
      <c r="F63" s="199">
        <f>C63*'System Calculation'!$I$13</f>
        <v>0</v>
      </c>
      <c r="G63" s="20">
        <f>'SC_Loop 1'!G63</f>
        <v>2.3260000000000003E-2</v>
      </c>
      <c r="H63" s="57">
        <f t="shared" si="3"/>
        <v>0</v>
      </c>
      <c r="I63" s="49" t="str">
        <f t="shared" si="14"/>
        <v xml:space="preserve"> </v>
      </c>
      <c r="J63" s="49"/>
      <c r="K63" s="49"/>
      <c r="L63" s="49" t="str">
        <f t="shared" si="13"/>
        <v xml:space="preserve"> </v>
      </c>
      <c r="M63" s="106" t="str">
        <f t="shared" si="15"/>
        <v xml:space="preserve"> </v>
      </c>
    </row>
    <row r="64" spans="1:15" ht="25" x14ac:dyDescent="0.25">
      <c r="A64" s="115" t="str">
        <f>'SC_Loop 1'!A64</f>
        <v>MAD-569-I only flash (External PS)</v>
      </c>
      <c r="B64" s="208" t="str">
        <f>'SC_Loop 1'!B64</f>
        <v>VAD base with isolator</v>
      </c>
      <c r="C64" s="97"/>
      <c r="D64" s="20">
        <f>'SC_Loop 1'!D64</f>
        <v>2.5889999999999995E-4</v>
      </c>
      <c r="E64" s="57">
        <f t="shared" si="2"/>
        <v>0</v>
      </c>
      <c r="F64" s="199">
        <f>C64*'System Calculation'!$I$13</f>
        <v>0</v>
      </c>
      <c r="G64" s="20">
        <f>'SC_Loop 1'!G64</f>
        <v>7.1000000000000002E-4</v>
      </c>
      <c r="H64" s="57">
        <f t="shared" si="3"/>
        <v>0</v>
      </c>
      <c r="I64" s="49" t="str">
        <f t="shared" si="14"/>
        <v xml:space="preserve"> </v>
      </c>
      <c r="J64" s="49"/>
      <c r="K64" s="49"/>
      <c r="L64" s="49" t="str">
        <f t="shared" si="13"/>
        <v xml:space="preserve"> </v>
      </c>
      <c r="M64" s="106" t="str">
        <f t="shared" si="15"/>
        <v xml:space="preserve"> </v>
      </c>
      <c r="O64" s="13" t="str">
        <f>IF(AND(C63&gt;0),"Info: External 24V needed. EN 54-4 certificate."," ")</f>
        <v xml:space="preserve"> </v>
      </c>
    </row>
    <row r="65" spans="1:15" x14ac:dyDescent="0.25">
      <c r="A65" s="115" t="str">
        <f>'SC_Loop 1'!A65</f>
        <v>MAD-472</v>
      </c>
      <c r="B65" s="208" t="str">
        <f>'SC_Loop 1'!B65</f>
        <v>Sounder base</v>
      </c>
      <c r="C65" s="97"/>
      <c r="D65" s="20">
        <f>'SC_Loop 1'!D65</f>
        <v>1.0739999999999999E-4</v>
      </c>
      <c r="E65" s="57">
        <f>C65*D65</f>
        <v>0</v>
      </c>
      <c r="F65" s="199">
        <f>C65*'System Calculation'!$I$13</f>
        <v>0</v>
      </c>
      <c r="G65" s="20">
        <f>'SC_Loop 1'!G65</f>
        <v>8.4499999999999992E-3</v>
      </c>
      <c r="H65" s="57">
        <f t="shared" si="3"/>
        <v>0</v>
      </c>
      <c r="I65" s="49" t="str">
        <f t="shared" si="14"/>
        <v xml:space="preserve"> </v>
      </c>
      <c r="J65" s="49"/>
      <c r="K65" s="49"/>
      <c r="L65" s="49" t="str">
        <f t="shared" si="13"/>
        <v xml:space="preserve"> </v>
      </c>
      <c r="M65" s="106" t="str">
        <f t="shared" si="15"/>
        <v xml:space="preserve"> </v>
      </c>
      <c r="O65" s="13" t="str">
        <f>IF(AND(C65&gt;0),"Info: External 24V needed. EN 54-4 certificate."," ")</f>
        <v xml:space="preserve"> </v>
      </c>
    </row>
    <row r="66" spans="1:15" ht="25" x14ac:dyDescent="0.25">
      <c r="A66" s="115" t="str">
        <f>'SC_Loop 1'!A66</f>
        <v>MAD-473</v>
      </c>
      <c r="B66" s="208" t="str">
        <f>'SC_Loop 1'!B66</f>
        <v>Sounder base with flash</v>
      </c>
      <c r="C66" s="97"/>
      <c r="D66" s="20">
        <f>'SC_Loop 1'!D66</f>
        <v>1.0679999999999999E-4</v>
      </c>
      <c r="E66" s="57">
        <f t="shared" si="2"/>
        <v>0</v>
      </c>
      <c r="F66" s="199">
        <f>C66*'System Calculation'!$I$13</f>
        <v>0</v>
      </c>
      <c r="G66" s="20">
        <f>'SC_Loop 1'!G66</f>
        <v>9.4800000000000006E-3</v>
      </c>
      <c r="H66" s="57">
        <f t="shared" si="3"/>
        <v>0</v>
      </c>
      <c r="I66" s="49" t="str">
        <f t="shared" si="14"/>
        <v xml:space="preserve"> </v>
      </c>
      <c r="J66" s="49"/>
      <c r="K66" s="49"/>
      <c r="L66" s="49" t="str">
        <f t="shared" si="13"/>
        <v xml:space="preserve"> </v>
      </c>
      <c r="M66" s="106" t="str">
        <f t="shared" si="15"/>
        <v xml:space="preserve"> </v>
      </c>
    </row>
    <row r="67" spans="1:15" ht="25" x14ac:dyDescent="0.25">
      <c r="A67" s="115" t="str">
        <f>'SC_Loop 1'!A67</f>
        <v>MAD-481</v>
      </c>
      <c r="B67" s="208" t="str">
        <f>'SC_Loop 1'!B67</f>
        <v>1 output 230V addressable module</v>
      </c>
      <c r="C67" s="97"/>
      <c r="D67" s="20">
        <f>'SC_Loop 1'!D67</f>
        <v>2.9999999999999997E-4</v>
      </c>
      <c r="E67" s="57">
        <f t="shared" si="2"/>
        <v>0</v>
      </c>
      <c r="F67" s="199">
        <f>C67*'System Calculation'!$I$14</f>
        <v>0</v>
      </c>
      <c r="G67" s="20">
        <f>'SC_Loop 1'!G67</f>
        <v>3.0000000000000001E-3</v>
      </c>
      <c r="H67" s="57">
        <f t="shared" si="3"/>
        <v>0</v>
      </c>
      <c r="I67" s="49"/>
      <c r="J67" s="49"/>
      <c r="K67" s="49" t="str">
        <f>IF(C67&lt;&gt;0,C67," ")</f>
        <v xml:space="preserve"> </v>
      </c>
      <c r="L67" s="49"/>
      <c r="M67" s="106" t="str">
        <f>IF(K67&lt;&gt;0,K67," ")</f>
        <v xml:space="preserve"> </v>
      </c>
    </row>
    <row r="68" spans="1:15" ht="37.5" x14ac:dyDescent="0.25">
      <c r="A68" s="115" t="str">
        <f>'SC_Loop 1'!A68</f>
        <v>MAD-481-I</v>
      </c>
      <c r="B68" s="208" t="str">
        <f>'SC_Loop 1'!B68</f>
        <v>1 output 230V addressable module with isolator</v>
      </c>
      <c r="C68" s="97"/>
      <c r="D68" s="20">
        <f>'SC_Loop 1'!D68</f>
        <v>2.9999999999999997E-4</v>
      </c>
      <c r="E68" s="57">
        <f t="shared" si="2"/>
        <v>0</v>
      </c>
      <c r="F68" s="199">
        <f>C68*'System Calculation'!$I$14</f>
        <v>0</v>
      </c>
      <c r="G68" s="20">
        <f>'SC_Loop 1'!G68</f>
        <v>3.0000000000000001E-3</v>
      </c>
      <c r="H68" s="57">
        <f t="shared" si="3"/>
        <v>0</v>
      </c>
      <c r="I68" s="49"/>
      <c r="J68" s="49"/>
      <c r="K68" s="49" t="str">
        <f>IF(C68&lt;&gt;0,C68," ")</f>
        <v xml:space="preserve"> </v>
      </c>
      <c r="L68" s="49"/>
      <c r="M68" s="106" t="str">
        <f t="shared" ref="M68:M69" si="17">IF(K68&lt;&gt;0,K68," ")</f>
        <v xml:space="preserve"> </v>
      </c>
      <c r="O68" s="13"/>
    </row>
    <row r="69" spans="1:15" x14ac:dyDescent="0.25">
      <c r="A69" s="115" t="str">
        <f>'SC_Loop 1'!A69</f>
        <v>MAD-490</v>
      </c>
      <c r="B69" s="208" t="str">
        <f>'SC_Loop 1'!B69</f>
        <v>Isolator module</v>
      </c>
      <c r="C69" s="97"/>
      <c r="D69" s="20">
        <f>'SC_Loop 1'!D69</f>
        <v>6.9599999999999998E-5</v>
      </c>
      <c r="E69" s="57">
        <f t="shared" si="2"/>
        <v>0</v>
      </c>
      <c r="F69" s="199">
        <f>C69*'System Calculation'!$I$14</f>
        <v>0</v>
      </c>
      <c r="G69" s="20">
        <f>'SC_Loop 1'!G69</f>
        <v>3.7659999999999999E-2</v>
      </c>
      <c r="H69" s="57">
        <f t="shared" si="3"/>
        <v>0</v>
      </c>
      <c r="I69" s="49"/>
      <c r="J69" s="49"/>
      <c r="K69" s="49" t="str">
        <f>IF(C69&lt;&gt;0,C69," ")</f>
        <v xml:space="preserve"> </v>
      </c>
      <c r="L69" s="49"/>
      <c r="M69" s="106" t="str">
        <f t="shared" si="17"/>
        <v xml:space="preserve"> </v>
      </c>
    </row>
    <row r="70" spans="1:15" ht="25" x14ac:dyDescent="0.25">
      <c r="A70" s="115" t="str">
        <f>'SC_Loop 1'!A70</f>
        <v>PAD-10A-I</v>
      </c>
      <c r="B70" s="208" t="str">
        <f>'SC_Loop 1'!B70</f>
        <v>Remote indicator with isolator</v>
      </c>
      <c r="C70" s="97"/>
      <c r="D70" s="20">
        <f>'SC_Loop 1'!D70</f>
        <v>1.7640000000000001E-4</v>
      </c>
      <c r="E70" s="57">
        <f t="shared" si="2"/>
        <v>0</v>
      </c>
      <c r="F70" s="199">
        <f>IF(C70&gt;10,10,C70)</f>
        <v>0</v>
      </c>
      <c r="G70" s="20">
        <f>'SC_Loop 1'!G70</f>
        <v>2.98E-3</v>
      </c>
      <c r="H70" s="57">
        <f t="shared" si="3"/>
        <v>0</v>
      </c>
      <c r="I70" s="49"/>
      <c r="J70" s="49" t="str">
        <f t="shared" ref="J70" si="18">IF(C70&lt;&gt;0,C70," ")</f>
        <v xml:space="preserve"> </v>
      </c>
      <c r="K70" s="49"/>
      <c r="L70" s="49"/>
      <c r="M70" s="106" t="str">
        <f t="shared" si="4"/>
        <v xml:space="preserve"> </v>
      </c>
    </row>
    <row r="71" spans="1:15" ht="37.5" x14ac:dyDescent="0.25">
      <c r="A71" s="115" t="str">
        <f>'SC_Loop 1'!A71</f>
        <v>TPLD-100 (CCD-102) = 3 loop address</v>
      </c>
      <c r="B71" s="208" t="str">
        <f>'SC_Loop 1'!B71</f>
        <v>2 zones fire alarm control panel connected to loop</v>
      </c>
      <c r="C71" s="97"/>
      <c r="D71" s="20">
        <f>'SC_Loop 1'!D71</f>
        <v>1.8629999999999999E-3</v>
      </c>
      <c r="E71" s="57">
        <f t="shared" si="2"/>
        <v>0</v>
      </c>
      <c r="F71" s="199">
        <f>C71</f>
        <v>0</v>
      </c>
      <c r="G71" s="20">
        <f>'SC_Loop 1'!G71</f>
        <v>1.8600000000000001E-3</v>
      </c>
      <c r="H71" s="57">
        <f t="shared" si="3"/>
        <v>0</v>
      </c>
      <c r="I71" s="49"/>
      <c r="J71" s="49"/>
      <c r="K71" s="49"/>
      <c r="L71" s="49"/>
      <c r="M71" s="106" t="str">
        <f>IF(C75&lt;&gt;0,3*C75," ")</f>
        <v xml:space="preserve"> </v>
      </c>
    </row>
    <row r="72" spans="1:15" ht="37.5" x14ac:dyDescent="0.25">
      <c r="A72" s="115" t="str">
        <f>'SC_Loop 1'!A72</f>
        <v>TPLD-100 (CCD-104) = 5 loop address</v>
      </c>
      <c r="B72" s="208" t="str">
        <f>'SC_Loop 1'!B72</f>
        <v>4 zones fire alarm control panel connected to loop</v>
      </c>
      <c r="C72" s="97"/>
      <c r="D72" s="20">
        <f>'SC_Loop 1'!D72</f>
        <v>1.8629999999999999E-3</v>
      </c>
      <c r="E72" s="57">
        <f t="shared" si="2"/>
        <v>0</v>
      </c>
      <c r="F72" s="199">
        <f t="shared" ref="F72:F75" si="19">C72</f>
        <v>0</v>
      </c>
      <c r="G72" s="20">
        <f>'SC_Loop 1'!G72</f>
        <v>1.8600000000000001E-3</v>
      </c>
      <c r="H72" s="57">
        <f t="shared" si="3"/>
        <v>0</v>
      </c>
      <c r="I72" s="49"/>
      <c r="J72" s="49"/>
      <c r="K72" s="49"/>
      <c r="L72" s="49"/>
      <c r="M72" s="106" t="str">
        <f>IF(C75&lt;&gt;0,5*C75," ")</f>
        <v xml:space="preserve"> </v>
      </c>
    </row>
    <row r="73" spans="1:15" ht="37.5" x14ac:dyDescent="0.25">
      <c r="A73" s="115" t="str">
        <f>'SC_Loop 1'!A73</f>
        <v>TPLD-100 (CCD-108) = 9 loop address</v>
      </c>
      <c r="B73" s="208" t="str">
        <f>'SC_Loop 1'!B73</f>
        <v>8 zones fire alarm control panel connected to loop</v>
      </c>
      <c r="C73" s="97"/>
      <c r="D73" s="20">
        <f>'SC_Loop 1'!D73</f>
        <v>1.8629999999999999E-3</v>
      </c>
      <c r="E73" s="57">
        <f t="shared" si="2"/>
        <v>0</v>
      </c>
      <c r="F73" s="199">
        <f t="shared" si="19"/>
        <v>0</v>
      </c>
      <c r="G73" s="20">
        <f>'SC_Loop 1'!G73</f>
        <v>1.8600000000000001E-3</v>
      </c>
      <c r="H73" s="57">
        <f t="shared" si="3"/>
        <v>0</v>
      </c>
      <c r="I73" s="49"/>
      <c r="J73" s="49"/>
      <c r="K73" s="49"/>
      <c r="L73" s="49"/>
      <c r="M73" s="106" t="str">
        <f>IF(C75&lt;&gt;0,9*C75," ")</f>
        <v xml:space="preserve"> </v>
      </c>
    </row>
    <row r="74" spans="1:15" ht="37.5" x14ac:dyDescent="0.25">
      <c r="A74" s="115" t="str">
        <f>'SC_Loop 1'!A74</f>
        <v>TPLD-100 (CCD-112) = 13 loop address</v>
      </c>
      <c r="B74" s="208" t="str">
        <f>'SC_Loop 1'!B74</f>
        <v>12 zones fire alarm control panel connected to loop</v>
      </c>
      <c r="C74" s="97"/>
      <c r="D74" s="20">
        <f>'SC_Loop 1'!D74</f>
        <v>1.8629999999999999E-3</v>
      </c>
      <c r="E74" s="57">
        <f t="shared" si="2"/>
        <v>0</v>
      </c>
      <c r="F74" s="199">
        <f t="shared" si="19"/>
        <v>0</v>
      </c>
      <c r="G74" s="20">
        <f>'SC_Loop 1'!G74</f>
        <v>1.8600000000000001E-3</v>
      </c>
      <c r="H74" s="57">
        <f t="shared" si="3"/>
        <v>0</v>
      </c>
      <c r="I74" s="49"/>
      <c r="J74" s="49"/>
      <c r="K74" s="49"/>
      <c r="L74" s="49"/>
      <c r="M74" s="106" t="str">
        <f>IF(C75&lt;&gt;0,13*C75," ")</f>
        <v xml:space="preserve"> </v>
      </c>
    </row>
    <row r="75" spans="1:15" ht="38.5" thickBot="1" x14ac:dyDescent="0.35">
      <c r="A75" s="115" t="str">
        <f>'SC_Loop 1'!A75</f>
        <v>TPLD-100 (CCD-103) = 7 loop address</v>
      </c>
      <c r="B75" s="208" t="str">
        <f>'SC_Loop 1'!B75</f>
        <v>Extinguishing control panel connected to loop</v>
      </c>
      <c r="C75" s="97"/>
      <c r="D75" s="171">
        <f>'SC_Loop 1'!D75</f>
        <v>1.8629999999999999E-3</v>
      </c>
      <c r="E75" s="111">
        <f t="shared" si="2"/>
        <v>0</v>
      </c>
      <c r="F75" s="199">
        <f t="shared" si="19"/>
        <v>0</v>
      </c>
      <c r="G75" s="171">
        <f>'SC_Loop 1'!G75</f>
        <v>1.8600000000000001E-3</v>
      </c>
      <c r="H75" s="111">
        <f t="shared" si="3"/>
        <v>0</v>
      </c>
      <c r="I75" s="39"/>
      <c r="J75" s="39"/>
      <c r="K75" s="39"/>
      <c r="L75" s="121"/>
      <c r="M75" s="112" t="str">
        <f>IF(C75&lt;&gt;0,7*C75," ")</f>
        <v xml:space="preserve"> </v>
      </c>
    </row>
    <row r="76" spans="1:15" s="7" customFormat="1" ht="13.5" thickBot="1" x14ac:dyDescent="0.35">
      <c r="A76" s="15" t="s">
        <v>8</v>
      </c>
      <c r="B76" s="205"/>
      <c r="C76" s="62">
        <f>SUM(C15:C69)+SUM(M72:M75)</f>
        <v>0</v>
      </c>
      <c r="D76" s="213"/>
      <c r="E76" s="59">
        <f>SUM(E15:E75)</f>
        <v>0</v>
      </c>
      <c r="F76" s="61">
        <f>SUM(F15:F69)</f>
        <v>0</v>
      </c>
      <c r="G76" s="212"/>
      <c r="H76" s="59">
        <f t="shared" ref="H76:M76" si="20">SUM(H15:H75)</f>
        <v>0</v>
      </c>
      <c r="I76" s="59">
        <f t="shared" si="20"/>
        <v>0</v>
      </c>
      <c r="J76" s="62">
        <f t="shared" si="20"/>
        <v>0</v>
      </c>
      <c r="K76" s="62">
        <f t="shared" si="20"/>
        <v>0</v>
      </c>
      <c r="L76" s="62">
        <f t="shared" si="20"/>
        <v>0</v>
      </c>
      <c r="M76" s="122">
        <f t="shared" si="20"/>
        <v>0</v>
      </c>
      <c r="O76"/>
    </row>
    <row r="77" spans="1:15" s="7" customFormat="1" ht="13" x14ac:dyDescent="0.3">
      <c r="C77" s="102"/>
      <c r="D77" s="103"/>
      <c r="E77" s="104"/>
      <c r="F77" s="105"/>
      <c r="G77" s="104"/>
      <c r="H77" s="104"/>
      <c r="I77" s="104"/>
      <c r="J77" s="104"/>
      <c r="K77" s="104"/>
      <c r="L77" s="102"/>
      <c r="M77" s="102"/>
    </row>
    <row r="78" spans="1:15" ht="14.4" customHeight="1" thickBot="1" x14ac:dyDescent="0.35">
      <c r="F78" s="26"/>
      <c r="L78" s="130" t="str">
        <f>IF($M$76&gt;250,"Error: The Loop cannot contain more than 250 addresses","")</f>
        <v/>
      </c>
      <c r="O78" s="7"/>
    </row>
    <row r="79" spans="1:15" ht="14.4" customHeight="1" thickBot="1" x14ac:dyDescent="0.35">
      <c r="A79" s="15" t="s">
        <v>136</v>
      </c>
      <c r="B79" s="113"/>
      <c r="C79" s="114"/>
      <c r="D79" s="26"/>
    </row>
    <row r="80" spans="1:15" ht="14.4" customHeight="1" x14ac:dyDescent="0.3">
      <c r="A80" s="96" t="s">
        <v>137</v>
      </c>
      <c r="B80" s="120">
        <v>1.72E-2</v>
      </c>
      <c r="C80" s="117" t="s">
        <v>138</v>
      </c>
      <c r="D80" s="26"/>
    </row>
    <row r="81" spans="1:12" ht="14.4" customHeight="1" x14ac:dyDescent="0.3">
      <c r="A81" s="21" t="s">
        <v>139</v>
      </c>
      <c r="B81" s="119">
        <f>E76</f>
        <v>0</v>
      </c>
      <c r="C81" s="95" t="s">
        <v>9</v>
      </c>
      <c r="D81" s="26"/>
    </row>
    <row r="82" spans="1:12" ht="14.4" customHeight="1" x14ac:dyDescent="0.3">
      <c r="A82" s="21" t="s">
        <v>140</v>
      </c>
      <c r="B82" s="119">
        <f>H76-I76</f>
        <v>0</v>
      </c>
      <c r="C82" s="95" t="s">
        <v>9</v>
      </c>
      <c r="D82" s="26"/>
    </row>
    <row r="83" spans="1:12" ht="14.4" customHeight="1" x14ac:dyDescent="0.3">
      <c r="A83" s="21" t="s">
        <v>141</v>
      </c>
      <c r="B83" s="119">
        <f>I76</f>
        <v>0</v>
      </c>
      <c r="C83" s="95" t="s">
        <v>9</v>
      </c>
      <c r="D83" s="26"/>
    </row>
    <row r="84" spans="1:12" ht="14.4" customHeight="1" x14ac:dyDescent="0.3">
      <c r="A84" s="21" t="s">
        <v>142</v>
      </c>
      <c r="B84" s="119">
        <f>SUM(B82:B83)</f>
        <v>0</v>
      </c>
      <c r="C84" s="95" t="s">
        <v>9</v>
      </c>
      <c r="D84" s="26"/>
    </row>
    <row r="85" spans="1:12" ht="14.4" customHeight="1" thickBot="1" x14ac:dyDescent="0.35">
      <c r="A85" s="22" t="s">
        <v>143</v>
      </c>
      <c r="B85" s="107">
        <v>6.9</v>
      </c>
      <c r="C85" s="28" t="s">
        <v>144</v>
      </c>
      <c r="D85" s="26"/>
    </row>
    <row r="86" spans="1:12" ht="14.4" customHeight="1" thickBot="1" x14ac:dyDescent="0.35">
      <c r="A86" s="13"/>
      <c r="E86" s="26"/>
    </row>
    <row r="87" spans="1:12" ht="14.4" customHeight="1" thickBot="1" x14ac:dyDescent="0.35">
      <c r="A87" s="8" t="s">
        <v>154</v>
      </c>
      <c r="B87" s="127"/>
      <c r="C87" s="127"/>
      <c r="D87" s="127"/>
      <c r="E87" s="139"/>
      <c r="F87" s="127"/>
      <c r="G87" s="127"/>
      <c r="H87" s="127"/>
      <c r="I87" s="127"/>
      <c r="J87" s="127"/>
      <c r="K87" s="128"/>
      <c r="L87" s="131" t="s">
        <v>150</v>
      </c>
    </row>
    <row r="88" spans="1:12" ht="14.4" customHeight="1" x14ac:dyDescent="0.25">
      <c r="A88" s="145" t="s">
        <v>155</v>
      </c>
      <c r="B88" s="41">
        <v>1000</v>
      </c>
      <c r="C88" s="41">
        <v>1500</v>
      </c>
      <c r="D88" s="41"/>
      <c r="E88" s="41">
        <v>2000</v>
      </c>
      <c r="F88" s="41"/>
      <c r="G88" s="41"/>
      <c r="H88" s="41">
        <v>2500</v>
      </c>
      <c r="I88" s="41">
        <v>3000</v>
      </c>
      <c r="J88" s="141">
        <v>3500</v>
      </c>
      <c r="K88" s="132" t="s">
        <v>151</v>
      </c>
    </row>
    <row r="89" spans="1:12" ht="14.4" customHeight="1" x14ac:dyDescent="0.25">
      <c r="A89" s="48" t="s">
        <v>156</v>
      </c>
      <c r="B89" s="134" t="e">
        <f>((($B$80*B88)/B91)*2)</f>
        <v>#DIV/0!</v>
      </c>
      <c r="C89" s="134" t="e">
        <f t="shared" ref="C89" si="21">((($B$80*C88)/C91)*2)</f>
        <v>#DIV/0!</v>
      </c>
      <c r="D89" s="134"/>
      <c r="E89" s="134" t="e">
        <f t="shared" ref="E89:J89" si="22">((($B$80*E88)/E91)*2)</f>
        <v>#DIV/0!</v>
      </c>
      <c r="F89" s="134" t="e">
        <f t="shared" si="22"/>
        <v>#DIV/0!</v>
      </c>
      <c r="G89" s="134"/>
      <c r="H89" s="134" t="e">
        <f t="shared" si="22"/>
        <v>#DIV/0!</v>
      </c>
      <c r="I89" s="134" t="e">
        <f t="shared" si="22"/>
        <v>#DIV/0!</v>
      </c>
      <c r="J89" s="134" t="e">
        <f t="shared" si="22"/>
        <v>#DIV/0!</v>
      </c>
      <c r="K89" s="133" t="s">
        <v>152</v>
      </c>
    </row>
    <row r="90" spans="1:12" ht="14.4" customHeight="1" thickBot="1" x14ac:dyDescent="0.3">
      <c r="A90" s="144" t="s">
        <v>157</v>
      </c>
      <c r="B90" s="134" t="e">
        <f>B89/2</f>
        <v>#DIV/0!</v>
      </c>
      <c r="C90" s="134" t="e">
        <f t="shared" ref="C90" si="23">C89/2</f>
        <v>#DIV/0!</v>
      </c>
      <c r="D90" s="134"/>
      <c r="E90" s="134" t="e">
        <f t="shared" ref="E90:F90" si="24">E89/2</f>
        <v>#DIV/0!</v>
      </c>
      <c r="F90" s="134" t="e">
        <f t="shared" si="24"/>
        <v>#DIV/0!</v>
      </c>
      <c r="G90" s="134"/>
      <c r="H90" s="134" t="e">
        <f>H89/2</f>
        <v>#DIV/0!</v>
      </c>
      <c r="I90" s="134" t="e">
        <f>I89/2</f>
        <v>#DIV/0!</v>
      </c>
      <c r="J90" s="134" t="e">
        <f>J89/2</f>
        <v>#DIV/0!</v>
      </c>
      <c r="K90" s="143" t="s">
        <v>152</v>
      </c>
    </row>
    <row r="91" spans="1:12" ht="14.4" customHeight="1" thickBot="1" x14ac:dyDescent="0.35">
      <c r="A91" s="15" t="s">
        <v>158</v>
      </c>
      <c r="B91" s="168" t="e">
        <f t="shared" ref="B91:J91" si="25">IF((($B$80*B$88)/(($B$85-((SUM($C$16,$C$18,$C$20,$C$22)*0.155)*$B$84))/$B$84))&lt;0.5,0.5,(($B$80*B$88)/(($B$85-((SUM($C$16,$C$18,$C$20,$C$22)*0.155)*$B$84))/$B$84)))</f>
        <v>#DIV/0!</v>
      </c>
      <c r="C91" s="168" t="e">
        <f t="shared" si="25"/>
        <v>#DIV/0!</v>
      </c>
      <c r="D91" s="168" t="e">
        <f t="shared" si="25"/>
        <v>#DIV/0!</v>
      </c>
      <c r="E91" s="168" t="e">
        <f t="shared" si="25"/>
        <v>#DIV/0!</v>
      </c>
      <c r="F91" s="168" t="e">
        <f t="shared" si="25"/>
        <v>#DIV/0!</v>
      </c>
      <c r="G91" s="168" t="e">
        <f t="shared" si="25"/>
        <v>#DIV/0!</v>
      </c>
      <c r="H91" s="168" t="e">
        <f t="shared" si="25"/>
        <v>#DIV/0!</v>
      </c>
      <c r="I91" s="168" t="e">
        <f t="shared" si="25"/>
        <v>#DIV/0!</v>
      </c>
      <c r="J91" s="168" t="e">
        <f t="shared" si="25"/>
        <v>#DIV/0!</v>
      </c>
      <c r="K91" s="94" t="s">
        <v>130</v>
      </c>
    </row>
    <row r="92" spans="1:12" ht="14.4" customHeight="1" thickBot="1" x14ac:dyDescent="0.35">
      <c r="A92" s="13"/>
      <c r="E92" s="26"/>
    </row>
    <row r="93" spans="1:12" ht="14.4" customHeight="1" thickBot="1" x14ac:dyDescent="0.35">
      <c r="A93" s="8" t="s">
        <v>159</v>
      </c>
      <c r="B93" s="127"/>
      <c r="C93" s="127"/>
      <c r="D93" s="127"/>
      <c r="E93" s="139"/>
      <c r="F93" s="127"/>
      <c r="G93" s="127"/>
      <c r="H93" s="127"/>
      <c r="I93" s="127"/>
      <c r="J93" s="127"/>
      <c r="K93" s="128"/>
      <c r="L93" s="131" t="s">
        <v>153</v>
      </c>
    </row>
    <row r="94" spans="1:12" ht="14.4" customHeight="1" x14ac:dyDescent="0.25">
      <c r="A94" s="132" t="s">
        <v>160</v>
      </c>
      <c r="B94" s="37">
        <v>0.5</v>
      </c>
      <c r="C94" s="41">
        <v>0.75</v>
      </c>
      <c r="D94" s="41"/>
      <c r="E94" s="41">
        <v>1</v>
      </c>
      <c r="F94" s="41"/>
      <c r="G94" s="41"/>
      <c r="H94" s="41">
        <v>1.5</v>
      </c>
      <c r="I94" s="41">
        <v>2.5</v>
      </c>
      <c r="J94" s="141">
        <v>4</v>
      </c>
      <c r="K94" s="132" t="s">
        <v>130</v>
      </c>
    </row>
    <row r="95" spans="1:12" ht="14.4" customHeight="1" x14ac:dyDescent="0.25">
      <c r="A95" s="140" t="s">
        <v>156</v>
      </c>
      <c r="B95" s="134" t="e">
        <f t="shared" ref="B95:J95" si="26">$B$80*B97/B94*2</f>
        <v>#DIV/0!</v>
      </c>
      <c r="C95" s="134" t="e">
        <f t="shared" si="26"/>
        <v>#DIV/0!</v>
      </c>
      <c r="D95" s="134"/>
      <c r="E95" s="134" t="e">
        <f t="shared" ref="E95" si="27">$B$80*E97/E94*2</f>
        <v>#DIV/0!</v>
      </c>
      <c r="F95" s="134" t="e">
        <f t="shared" si="26"/>
        <v>#DIV/0!</v>
      </c>
      <c r="G95" s="134"/>
      <c r="H95" s="134" t="e">
        <f t="shared" si="26"/>
        <v>#DIV/0!</v>
      </c>
      <c r="I95" s="134" t="e">
        <f t="shared" si="26"/>
        <v>#DIV/0!</v>
      </c>
      <c r="J95" s="134" t="e">
        <f t="shared" si="26"/>
        <v>#DIV/0!</v>
      </c>
      <c r="K95" s="133" t="s">
        <v>152</v>
      </c>
    </row>
    <row r="96" spans="1:12" ht="14.4" customHeight="1" thickBot="1" x14ac:dyDescent="0.3">
      <c r="A96" s="142" t="s">
        <v>157</v>
      </c>
      <c r="B96" s="134" t="e">
        <f>B95/2</f>
        <v>#DIV/0!</v>
      </c>
      <c r="C96" s="134" t="e">
        <f t="shared" ref="C96" si="28">C95/2</f>
        <v>#DIV/0!</v>
      </c>
      <c r="D96" s="134"/>
      <c r="E96" s="134" t="e">
        <f t="shared" ref="E96:F96" si="29">E95/2</f>
        <v>#DIV/0!</v>
      </c>
      <c r="F96" s="134" t="e">
        <f t="shared" si="29"/>
        <v>#DIV/0!</v>
      </c>
      <c r="G96" s="134"/>
      <c r="H96" s="134" t="e">
        <f>H95/2</f>
        <v>#DIV/0!</v>
      </c>
      <c r="I96" s="134" t="e">
        <f>I95/2</f>
        <v>#DIV/0!</v>
      </c>
      <c r="J96" s="134" t="e">
        <f>J95/2</f>
        <v>#DIV/0!</v>
      </c>
      <c r="K96" s="143" t="s">
        <v>152</v>
      </c>
    </row>
    <row r="97" spans="1:13" ht="14.4" customHeight="1" thickBot="1" x14ac:dyDescent="0.35">
      <c r="A97" s="94" t="s">
        <v>161</v>
      </c>
      <c r="B97" s="168" t="e">
        <f t="shared" ref="B97:J97" si="30">IF((((($B$85-((SUM($C$16,$C$18,$C$20,$C$22)*0.155)*$B$84))/$B$84)*B$94)/$B$80)&gt;3500,3500,(((($B$85-((SUM($C$16,$C$18,$C$20,$C$22)*0.155)*$B$84))/$B$84)*B$94)/$B$80))</f>
        <v>#DIV/0!</v>
      </c>
      <c r="C97" s="168" t="e">
        <f t="shared" si="30"/>
        <v>#DIV/0!</v>
      </c>
      <c r="D97" s="168" t="e">
        <f t="shared" si="30"/>
        <v>#DIV/0!</v>
      </c>
      <c r="E97" s="168" t="e">
        <f t="shared" si="30"/>
        <v>#DIV/0!</v>
      </c>
      <c r="F97" s="168" t="e">
        <f t="shared" si="30"/>
        <v>#DIV/0!</v>
      </c>
      <c r="G97" s="168" t="e">
        <f t="shared" si="30"/>
        <v>#DIV/0!</v>
      </c>
      <c r="H97" s="168" t="e">
        <f t="shared" si="30"/>
        <v>#DIV/0!</v>
      </c>
      <c r="I97" s="168" t="e">
        <f t="shared" si="30"/>
        <v>#DIV/0!</v>
      </c>
      <c r="J97" s="168" t="e">
        <f t="shared" si="30"/>
        <v>#DIV/0!</v>
      </c>
      <c r="K97" s="94" t="s">
        <v>151</v>
      </c>
    </row>
    <row r="98" spans="1:13" ht="14.4" customHeight="1" thickBot="1" x14ac:dyDescent="0.35">
      <c r="A98" s="13"/>
      <c r="E98" s="26"/>
    </row>
    <row r="99" spans="1:13" ht="14.4" customHeight="1" thickBot="1" x14ac:dyDescent="0.35">
      <c r="A99" s="8" t="s">
        <v>162</v>
      </c>
      <c r="B99" s="127"/>
      <c r="C99" s="128"/>
      <c r="D99" s="26"/>
    </row>
    <row r="100" spans="1:13" ht="14.4" customHeight="1" x14ac:dyDescent="0.3">
      <c r="A100" s="96" t="s">
        <v>163</v>
      </c>
      <c r="B100" s="41">
        <f>$B$8</f>
        <v>1.5</v>
      </c>
      <c r="C100" s="98" t="s">
        <v>130</v>
      </c>
      <c r="D100" s="26"/>
      <c r="G100" s="130" t="str">
        <f>IF(B100&lt;0.5,"Error: The Minimum Cable Seccion in the Loop is 0,5 mm2","")</f>
        <v/>
      </c>
    </row>
    <row r="101" spans="1:13" ht="14.4" customHeight="1" x14ac:dyDescent="0.3">
      <c r="A101" s="21" t="s">
        <v>164</v>
      </c>
      <c r="B101" s="49">
        <f>$B$9</f>
        <v>1000</v>
      </c>
      <c r="C101" s="95" t="s">
        <v>130</v>
      </c>
      <c r="D101" s="26"/>
      <c r="G101" s="130" t="str">
        <f>IF(B101&gt;3500,"Error: The Maximum Lenght in the Line is 3500 meters","")</f>
        <v/>
      </c>
    </row>
    <row r="102" spans="1:13" ht="14.4" customHeight="1" x14ac:dyDescent="0.3">
      <c r="A102" s="21" t="s">
        <v>165</v>
      </c>
      <c r="B102" s="136">
        <f>((($B$80*B101)/B100)*2)+(SUM(C16,C18,C20,C22,)*0.155)</f>
        <v>22.933333333333334</v>
      </c>
      <c r="C102" s="106" t="s">
        <v>152</v>
      </c>
      <c r="D102" s="26"/>
    </row>
    <row r="103" spans="1:13" ht="14.4" customHeight="1" thickBot="1" x14ac:dyDescent="0.35">
      <c r="A103" s="22" t="s">
        <v>166</v>
      </c>
      <c r="B103" s="135">
        <f>B102/2</f>
        <v>11.466666666666667</v>
      </c>
      <c r="C103" s="108" t="s">
        <v>152</v>
      </c>
      <c r="D103" s="26"/>
    </row>
    <row r="104" spans="1:13" ht="14.4" customHeight="1" thickBot="1" x14ac:dyDescent="0.35">
      <c r="A104" s="146" t="s">
        <v>167</v>
      </c>
      <c r="B104" s="147">
        <f>$B$85/$B$103</f>
        <v>0.6017441860465117</v>
      </c>
      <c r="C104" s="147" t="s">
        <v>9</v>
      </c>
      <c r="D104" s="26"/>
    </row>
    <row r="105" spans="1:13" ht="14.4" customHeight="1" thickBot="1" x14ac:dyDescent="0.35">
      <c r="A105" s="8" t="s">
        <v>133</v>
      </c>
      <c r="B105" s="127"/>
      <c r="C105" s="128"/>
      <c r="D105" s="26"/>
    </row>
    <row r="106" spans="1:13" ht="14.4" customHeight="1" thickBot="1" x14ac:dyDescent="0.35">
      <c r="A106" s="8" t="s">
        <v>134</v>
      </c>
      <c r="B106" s="128"/>
      <c r="C106" s="138" t="str">
        <f>IF($B$84&gt;0.4,"FAIL",IF($B$104&gt;=$B$84,"OK","FAIL"))</f>
        <v>OK</v>
      </c>
      <c r="D106" s="26"/>
      <c r="G106" s="130" t="str">
        <f>IF($B$84&gt;0.4,"Error: The Loop Current is upper that Maximum Current allowed",IF($B$104&lt;$B$84,"Error: The Loop Current is upper that Maximum Current allowed",""))</f>
        <v/>
      </c>
    </row>
    <row r="107" spans="1:13" ht="14.4" customHeight="1" thickBot="1" x14ac:dyDescent="0.35">
      <c r="A107" s="8" t="s">
        <v>135</v>
      </c>
      <c r="B107" s="128"/>
      <c r="C107" s="137" t="str">
        <f>IF($M$76&lt;=250,"OK","FAIL")</f>
        <v>OK</v>
      </c>
      <c r="D107" s="26"/>
      <c r="G107" s="130" t="str">
        <f>IF($M$76&gt;250,"Error: The Loop cannot contain more than 250 addresses","")</f>
        <v/>
      </c>
    </row>
    <row r="108" spans="1:13" ht="14.4" customHeight="1" x14ac:dyDescent="0.3">
      <c r="A108" s="13"/>
      <c r="B108" s="13"/>
      <c r="F108" s="26"/>
    </row>
    <row r="110" spans="1:13" ht="27" customHeight="1" x14ac:dyDescent="0.25">
      <c r="A110" s="225" t="s">
        <v>13</v>
      </c>
      <c r="B110" s="225"/>
      <c r="C110" s="225"/>
      <c r="D110" s="225"/>
      <c r="E110" s="225"/>
      <c r="F110" s="225"/>
      <c r="G110" s="225"/>
      <c r="H110" s="225"/>
      <c r="I110" s="225"/>
      <c r="J110" s="225"/>
      <c r="K110" s="225"/>
      <c r="L110" s="225"/>
      <c r="M110" s="225"/>
    </row>
  </sheetData>
  <sheetProtection algorithmName="SHA-512" hashValue="DLzqwJL7LFe/zf2k716yVwoxFtCILfAJP4q2r4LxDza6GTuZ/KYqqZgec/wvTWKHXTpyrFJEuPUTdzTl0BtbYA==" saltValue="vmYTJyPAHPchUNb79lOkvw==" spinCount="100000" sheet="1" sort="0" autoFilter="0" pivotTables="0"/>
  <mergeCells count="5">
    <mergeCell ref="K7:L7"/>
    <mergeCell ref="H8:J9"/>
    <mergeCell ref="K8:L8"/>
    <mergeCell ref="K9:L9"/>
    <mergeCell ref="A110:M110"/>
  </mergeCells>
  <conditionalFormatting sqref="B89:J90">
    <cfRule type="containsErrors" dxfId="33" priority="5">
      <formula>ISERROR(B89)</formula>
    </cfRule>
  </conditionalFormatting>
  <conditionalFormatting sqref="B91:J91">
    <cfRule type="containsErrors" dxfId="32" priority="3">
      <formula>ISERROR(B91)</formula>
    </cfRule>
  </conditionalFormatting>
  <conditionalFormatting sqref="B95:J96">
    <cfRule type="containsErrors" dxfId="31" priority="4">
      <formula>ISERROR(B95)</formula>
    </cfRule>
  </conditionalFormatting>
  <conditionalFormatting sqref="B97:J97">
    <cfRule type="containsErrors" dxfId="30" priority="1">
      <formula>ISERROR(B97)</formula>
    </cfRule>
  </conditionalFormatting>
  <conditionalFormatting sqref="C106:C107">
    <cfRule type="cellIs" dxfId="29" priority="6" stopIfTrue="1" operator="equal">
      <formula>"FAIL"</formula>
    </cfRule>
  </conditionalFormatting>
  <conditionalFormatting sqref="K15:K75">
    <cfRule type="cellIs" dxfId="28" priority="8" operator="equal">
      <formula>0</formula>
    </cfRule>
  </conditionalFormatting>
  <conditionalFormatting sqref="M8:M9">
    <cfRule type="cellIs" dxfId="27" priority="24" stopIfTrue="1" operator="equal">
      <formula>"FAIL"</formula>
    </cfRule>
  </conditionalFormatting>
  <conditionalFormatting sqref="O34:O35 O56 O58 O60 O62 O64:O65">
    <cfRule type="expression" dxfId="26" priority="11" stopIfTrue="1">
      <formula>$B$38&gt;2</formula>
    </cfRule>
    <cfRule type="expression" dxfId="25" priority="12" stopIfTrue="1">
      <formula>$B$38&lt;3</formula>
    </cfRule>
  </conditionalFormatting>
  <conditionalFormatting sqref="O35:O36">
    <cfRule type="expression" dxfId="24" priority="17" stopIfTrue="1">
      <formula>$B$37&gt;4</formula>
    </cfRule>
    <cfRule type="expression" dxfId="23" priority="18" stopIfTrue="1">
      <formula>$B$37&lt;5</formula>
    </cfRule>
  </conditionalFormatting>
  <conditionalFormatting sqref="O37:O43">
    <cfRule type="expression" dxfId="22" priority="13" stopIfTrue="1">
      <formula>$B$38&gt;2</formula>
    </cfRule>
    <cfRule type="expression" dxfId="21" priority="14" stopIfTrue="1">
      <formula>$B$38&lt;3</formula>
    </cfRule>
  </conditionalFormatting>
  <conditionalFormatting sqref="O54">
    <cfRule type="expression" dxfId="20" priority="9" stopIfTrue="1">
      <formula>$B$38&gt;2</formula>
    </cfRule>
    <cfRule type="expression" dxfId="19" priority="10" stopIfTrue="1">
      <formula>$B$38&lt;3</formula>
    </cfRule>
  </conditionalFormatting>
  <conditionalFormatting sqref="O68">
    <cfRule type="expression" dxfId="18" priority="15" stopIfTrue="1">
      <formula>$B$37&gt;4</formula>
    </cfRule>
    <cfRule type="expression" dxfId="17" priority="16" stopIfTrue="1">
      <formula>$B$37&lt;5</formula>
    </cfRule>
  </conditionalFormatting>
  <pageMargins left="0.78740157480314965" right="0.39370078740157483" top="0.39370078740157483" bottom="0.39370078740157483" header="0" footer="0"/>
  <pageSetup paperSize="9" scale="87" orientation="portrait" horizontalDpi="1200" verticalDpi="12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61571A9-DAFE-4781-B6D2-022E2779C455}">
          <x14:formula1>
            <xm:f>Datos!$F$16:$F$21</xm:f>
          </x14:formula1>
          <xm:sqref>B8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15</vt:i4>
      </vt:variant>
    </vt:vector>
  </HeadingPairs>
  <TitlesOfParts>
    <vt:vector size="24" baseType="lpstr">
      <vt:lpstr>System Calculation</vt:lpstr>
      <vt:lpstr>SC_Loop 1</vt:lpstr>
      <vt:lpstr>SC_Loop 2</vt:lpstr>
      <vt:lpstr>SC_Loop 3</vt:lpstr>
      <vt:lpstr>SC_Loop 4</vt:lpstr>
      <vt:lpstr>SC_Loop 5</vt:lpstr>
      <vt:lpstr>SC_Loop 6</vt:lpstr>
      <vt:lpstr>SC_Loop 7</vt:lpstr>
      <vt:lpstr>SC_Loop 8</vt:lpstr>
      <vt:lpstr>CAD_150_1</vt:lpstr>
      <vt:lpstr>CAD_150_2</vt:lpstr>
      <vt:lpstr>CAD_150_2_MB</vt:lpstr>
      <vt:lpstr>CAD_150_4</vt:lpstr>
      <vt:lpstr>CAD_150_4_P</vt:lpstr>
      <vt:lpstr>CAD_150_8_4loop</vt:lpstr>
      <vt:lpstr>CAD_150_8_6loop</vt:lpstr>
      <vt:lpstr>CAD_150_8_8loop</vt:lpstr>
      <vt:lpstr>CAD_150_8PLUS_4loop</vt:lpstr>
      <vt:lpstr>CAD_150_8PLUS_6loop</vt:lpstr>
      <vt:lpstr>CAD_150_8PLUS_8loop</vt:lpstr>
      <vt:lpstr>CAD_150_8PLUS_P_4loop</vt:lpstr>
      <vt:lpstr>CAD_150_8PLUS_P_6loop</vt:lpstr>
      <vt:lpstr>CAD_150_8PLUS_P_8loop</vt:lpstr>
      <vt:lpstr>Centrales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Miguel Cabrera</dc:creator>
  <cp:lastModifiedBy>Jordi Vilarrubí - DETNOV</cp:lastModifiedBy>
  <cp:lastPrinted>2012-08-27T12:21:11Z</cp:lastPrinted>
  <dcterms:created xsi:type="dcterms:W3CDTF">2012-08-10T08:25:10Z</dcterms:created>
  <dcterms:modified xsi:type="dcterms:W3CDTF">2025-09-18T11:58:49Z</dcterms:modified>
</cp:coreProperties>
</file>